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GKSERVER01\Admin\Mission Initiatives\Grantmaking\GRANTS\2018-2019\Grantee Resources\"/>
    </mc:Choice>
  </mc:AlternateContent>
  <bookViews>
    <workbookView xWindow="0" yWindow="0" windowWidth="24000" windowHeight="9720" firstSheet="2" activeTab="2"/>
  </bookViews>
  <sheets>
    <sheet name="Instructions" sheetId="18" r:id="rId1"/>
    <sheet name="Orig County" sheetId="5" state="hidden" r:id="rId2"/>
    <sheet name="SERVICE ENTRY" sheetId="4" r:id="rId3"/>
    <sheet name="Aggregated Report" sheetId="8" state="hidden" r:id="rId4"/>
    <sheet name="County Report" sheetId="19" r:id="rId5"/>
    <sheet name="Demographics Report" sheetId="16" r:id="rId6"/>
    <sheet name="Breast Cancers Diagnosed Report" sheetId="21" r:id="rId7"/>
    <sheet name="Education &amp; Training Report" sheetId="9" r:id="rId8"/>
    <sheet name="Screening Services Report" sheetId="10" r:id="rId9"/>
    <sheet name="Diagnostic Services Report " sheetId="11" r:id="rId10"/>
    <sheet name="Treatment Services Report " sheetId="12" r:id="rId11"/>
    <sheet name="Treatment Support Report " sheetId="17" r:id="rId12"/>
    <sheet name="Barriers Reduction Report" sheetId="13" r:id="rId13"/>
    <sheet name="Pt Nav-CareCoor-CaseMgt Report" sheetId="14" r:id="rId14"/>
  </sheets>
  <definedNames>
    <definedName name="AK">'Orig County'!$C$2:$C$19</definedName>
    <definedName name="AL">'Orig County'!$B$2:$B$68</definedName>
    <definedName name="AR">'Orig County'!$E$2:$E$76</definedName>
    <definedName name="AZ">'Orig County'!$D$2:$D$16</definedName>
    <definedName name="CA">'Orig County'!$F$2:$F$59</definedName>
    <definedName name="CO">'Orig County'!$G$2:$G$65</definedName>
    <definedName name="CT">'Orig County'!$H$2:$H$9</definedName>
    <definedName name="DE">'Orig County'!$I$2:$I$4</definedName>
    <definedName name="FL">'Orig County'!$J$2:$J$68</definedName>
    <definedName name="GA">'Orig County'!$K$2:$K$160</definedName>
    <definedName name="HI">'Orig County'!$L$2:$L$6</definedName>
    <definedName name="IA">'Orig County'!$P$2:$P$100</definedName>
    <definedName name="ID">'Orig County'!$M$2:$M$45</definedName>
    <definedName name="IL">'Orig County'!$N$2:$N$103</definedName>
    <definedName name="IN">'Orig County'!$O$2:$O$93</definedName>
    <definedName name="KS">'Orig County'!$Q$2:$Q$106</definedName>
    <definedName name="KY">'Orig County'!$R$2:$R$121</definedName>
    <definedName name="LA">'Orig County'!$S$2:$S$65</definedName>
    <definedName name="MA">'Orig County'!$V$2:$V$15</definedName>
    <definedName name="MD">'Orig County'!$U$2:$U$25</definedName>
    <definedName name="ME">'Orig County'!$T$2:$T$17</definedName>
    <definedName name="MI">'Orig County'!$W$2:$W$84</definedName>
    <definedName name="MN">'Orig County'!$X$2:$X$88</definedName>
    <definedName name="MO">'Orig County'!$Z$2:$Z$116</definedName>
    <definedName name="MS">'Orig County'!$Y$2:$Y$83</definedName>
    <definedName name="MT">'Orig County'!$AA$2:$AA$57</definedName>
    <definedName name="NC">'Orig County'!$AH$2:$AH$101</definedName>
    <definedName name="ND">'Orig County'!$AI$2:$AI$54</definedName>
    <definedName name="NE">'Orig County'!$AB$2:$AB$94</definedName>
    <definedName name="NH">'Orig County'!$AD$2:$AD$11</definedName>
    <definedName name="NJ">'Orig County'!$AE$2:$AE$22</definedName>
    <definedName name="NM">'Orig County'!$AF$2:$AF$34</definedName>
    <definedName name="NV">'Orig County'!$AC$2:$AC$17</definedName>
    <definedName name="NY">'Orig County'!$AG$2:$AG$63</definedName>
    <definedName name="OH">'Orig County'!$AJ$2:$AJ$89</definedName>
    <definedName name="OK">'Orig County'!$AK$2:$AK$78</definedName>
    <definedName name="OR">'Orig County'!$AL$2:$AL$37</definedName>
    <definedName name="PA">'Orig County'!$AM$2:$AM$68</definedName>
    <definedName name="RI">'Orig County'!$AN$2:$AN$6</definedName>
    <definedName name="SC">'Orig County'!$AO$2:$AO$47</definedName>
    <definedName name="SD">'Orig County'!$AP$2:$AP$67</definedName>
    <definedName name="State">'Orig County'!$A$2:$A$51</definedName>
    <definedName name="TN">'Orig County'!$AQ$2:$AQ$96</definedName>
    <definedName name="TX">'Orig County'!$AR$2:$AR$255</definedName>
    <definedName name="UT">'Orig County'!$AS$2:$AS$30</definedName>
    <definedName name="VA">'Orig County'!$AU$2:$AU$96</definedName>
    <definedName name="VT">'Orig County'!$AT$2:$AT$15</definedName>
    <definedName name="WA">'Orig County'!$AV$2:$AV$40</definedName>
    <definedName name="WI">'Orig County'!$AX$2:$AX$73</definedName>
    <definedName name="WV">'Orig County'!$AW$2:$AW$56</definedName>
    <definedName name="WY">'Orig County'!$AY$2:$AY$24</definedName>
  </definedNames>
  <calcPr calcId="152511"/>
</workbook>
</file>

<file path=xl/calcChain.xml><?xml version="1.0" encoding="utf-8"?>
<calcChain xmlns="http://schemas.openxmlformats.org/spreadsheetml/2006/main">
  <c r="H141" i="19" l="1"/>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78" i="19"/>
  <c r="G179" i="19"/>
  <c r="G180" i="19"/>
  <c r="G181" i="19"/>
  <c r="G182" i="19"/>
  <c r="G183" i="19"/>
  <c r="G184" i="19"/>
  <c r="G185" i="19"/>
  <c r="G186" i="19"/>
  <c r="G187" i="19"/>
  <c r="G188" i="19"/>
  <c r="G189" i="19"/>
  <c r="G190" i="19"/>
  <c r="G191" i="19"/>
  <c r="G192" i="19"/>
  <c r="G193" i="19"/>
  <c r="G194" i="19"/>
  <c r="G195" i="19"/>
  <c r="G196" i="19"/>
  <c r="G197" i="19"/>
  <c r="G198" i="19"/>
  <c r="G199" i="19"/>
  <c r="G200" i="19"/>
  <c r="G201" i="19"/>
  <c r="G202" i="19"/>
  <c r="G203"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D141" i="19"/>
  <c r="D142" i="19"/>
  <c r="D143" i="19"/>
  <c r="D144" i="19"/>
  <c r="D145" i="19"/>
  <c r="D146" i="19"/>
  <c r="D147" i="19"/>
  <c r="D148" i="19"/>
  <c r="D149" i="19"/>
  <c r="D150" i="19"/>
  <c r="D151" i="19"/>
  <c r="D152" i="19"/>
  <c r="D153" i="19"/>
  <c r="D154" i="19"/>
  <c r="D155" i="19"/>
  <c r="D156" i="19"/>
  <c r="D157" i="19"/>
  <c r="D158" i="19"/>
  <c r="D159" i="19"/>
  <c r="D160" i="19"/>
  <c r="D161" i="19"/>
  <c r="D162" i="19"/>
  <c r="D163" i="19"/>
  <c r="D164" i="19"/>
  <c r="D165" i="19"/>
  <c r="D166" i="19"/>
  <c r="D167" i="19"/>
  <c r="D168" i="19"/>
  <c r="D169" i="19"/>
  <c r="D170" i="19"/>
  <c r="D171" i="19"/>
  <c r="D172" i="19"/>
  <c r="D173" i="19"/>
  <c r="D174" i="19"/>
  <c r="D175" i="19"/>
  <c r="D176" i="19"/>
  <c r="D177" i="19"/>
  <c r="D178" i="19"/>
  <c r="D179" i="19"/>
  <c r="D180" i="19"/>
  <c r="D181" i="19"/>
  <c r="D182" i="19"/>
  <c r="D183" i="19"/>
  <c r="D184" i="19"/>
  <c r="D185" i="19"/>
  <c r="D186" i="19"/>
  <c r="D187" i="19"/>
  <c r="D188" i="19"/>
  <c r="D189" i="19"/>
  <c r="D190" i="19"/>
  <c r="D191" i="19"/>
  <c r="D192" i="19"/>
  <c r="D193" i="19"/>
  <c r="D194" i="19"/>
  <c r="D195" i="19"/>
  <c r="D196" i="19"/>
  <c r="D197" i="19"/>
  <c r="D198" i="19"/>
  <c r="D199" i="19"/>
  <c r="D200" i="19"/>
  <c r="D201" i="19"/>
  <c r="D202" i="19"/>
  <c r="D203"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B201" i="19"/>
  <c r="B202" i="19"/>
  <c r="B203" i="19"/>
  <c r="L72" i="19"/>
  <c r="L73" i="19"/>
  <c r="L74" i="19"/>
  <c r="L75" i="19"/>
  <c r="L76" i="19"/>
  <c r="L77" i="19"/>
  <c r="L78" i="19"/>
  <c r="L79"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7" i="19"/>
  <c r="L128" i="19"/>
  <c r="L129" i="19"/>
  <c r="L130" i="19"/>
  <c r="L131" i="19"/>
  <c r="L132" i="19"/>
  <c r="L133" i="19"/>
  <c r="L134"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133" i="19"/>
  <c r="F134"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130" i="19"/>
  <c r="D131" i="19"/>
  <c r="D132" i="19"/>
  <c r="D133" i="19"/>
  <c r="D134"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L20" i="21" l="1"/>
  <c r="L21" i="21"/>
  <c r="L22" i="21"/>
  <c r="L23" i="21"/>
  <c r="L24" i="21"/>
  <c r="K20" i="21"/>
  <c r="K21" i="21"/>
  <c r="K22" i="21"/>
  <c r="K23" i="21"/>
  <c r="K24" i="21"/>
  <c r="J20" i="21"/>
  <c r="J21" i="21"/>
  <c r="J22" i="21"/>
  <c r="J23" i="21"/>
  <c r="J24" i="21"/>
  <c r="L19" i="21"/>
  <c r="L25" i="21" s="1"/>
  <c r="K19" i="21"/>
  <c r="J19" i="21"/>
  <c r="I20" i="21"/>
  <c r="I21" i="21"/>
  <c r="I22" i="21"/>
  <c r="I23" i="21"/>
  <c r="I24" i="21"/>
  <c r="H20" i="21"/>
  <c r="H21" i="21"/>
  <c r="H22" i="21"/>
  <c r="H23" i="21"/>
  <c r="H24" i="21"/>
  <c r="G20" i="21"/>
  <c r="G21" i="21"/>
  <c r="G22" i="21"/>
  <c r="G23" i="21"/>
  <c r="G24" i="21"/>
  <c r="F20" i="21"/>
  <c r="F21" i="21"/>
  <c r="F22" i="21"/>
  <c r="F23" i="21"/>
  <c r="F24" i="21"/>
  <c r="E20" i="21"/>
  <c r="E21" i="21"/>
  <c r="E22" i="21"/>
  <c r="E23" i="21"/>
  <c r="E24" i="21"/>
  <c r="I19" i="21"/>
  <c r="I25" i="21" s="1"/>
  <c r="H19" i="21"/>
  <c r="G19" i="21"/>
  <c r="F19" i="21"/>
  <c r="E19" i="21"/>
  <c r="E25" i="21" s="1"/>
  <c r="D20" i="21"/>
  <c r="D21" i="21"/>
  <c r="D22" i="21"/>
  <c r="D23" i="21"/>
  <c r="D24" i="21"/>
  <c r="D19" i="21"/>
  <c r="C19" i="21"/>
  <c r="C20" i="21"/>
  <c r="C21" i="21"/>
  <c r="C22" i="21"/>
  <c r="C23" i="21"/>
  <c r="C24" i="21"/>
  <c r="B19" i="21"/>
  <c r="C25" i="21" l="1"/>
  <c r="F25" i="21"/>
  <c r="D25" i="21"/>
  <c r="C26" i="21" s="1"/>
  <c r="G25" i="21"/>
  <c r="H25" i="21"/>
  <c r="J25" i="21"/>
  <c r="J26" i="21" s="1"/>
  <c r="K25" i="21"/>
  <c r="K51" i="9"/>
  <c r="K50" i="9"/>
  <c r="J51" i="9"/>
  <c r="J50" i="9"/>
  <c r="I51" i="9"/>
  <c r="I50" i="9"/>
  <c r="H51" i="9"/>
  <c r="H50" i="9"/>
  <c r="G51" i="9"/>
  <c r="G50" i="9"/>
  <c r="F51" i="9"/>
  <c r="F50" i="9"/>
  <c r="E51" i="9"/>
  <c r="E50" i="9"/>
  <c r="D50" i="9"/>
  <c r="D51" i="9"/>
  <c r="C50" i="9"/>
  <c r="C51" i="9"/>
  <c r="B4" i="14" l="1"/>
  <c r="D4" i="14"/>
  <c r="C4" i="14"/>
  <c r="B20" i="21"/>
  <c r="B21" i="21"/>
  <c r="B23" i="21"/>
  <c r="B24" i="21"/>
  <c r="B22" i="21"/>
  <c r="F2" i="19" l="1"/>
  <c r="H140" i="19" l="1"/>
  <c r="H204" i="19" s="1"/>
  <c r="G140" i="19"/>
  <c r="G204" i="19" s="1"/>
  <c r="F140" i="19"/>
  <c r="F204" i="19" s="1"/>
  <c r="C140" i="19"/>
  <c r="C204" i="19" s="1"/>
  <c r="D140" i="19"/>
  <c r="D204" i="19" s="1"/>
  <c r="E140" i="19"/>
  <c r="E204" i="19" s="1"/>
  <c r="C71" i="19"/>
  <c r="C135" i="19" s="1"/>
  <c r="B140" i="19"/>
  <c r="B204" i="19" s="1"/>
  <c r="H2" i="19"/>
  <c r="L71" i="19"/>
  <c r="L135" i="19" s="1"/>
  <c r="K71" i="19"/>
  <c r="K135" i="19" s="1"/>
  <c r="J71" i="19"/>
  <c r="J135" i="19" s="1"/>
  <c r="I71" i="19"/>
  <c r="I135" i="19" s="1"/>
  <c r="H71" i="19"/>
  <c r="H135" i="19" s="1"/>
  <c r="G71" i="19"/>
  <c r="G135" i="19" s="1"/>
  <c r="F71" i="19"/>
  <c r="F135" i="19" s="1"/>
  <c r="E71" i="19"/>
  <c r="E135" i="19" s="1"/>
  <c r="D71" i="19"/>
  <c r="D135" i="19" s="1"/>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C3" i="19"/>
  <c r="C4"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2" i="19"/>
  <c r="B3" i="19"/>
  <c r="B4" i="19"/>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2" i="19"/>
  <c r="K3" i="19"/>
  <c r="K4" i="19"/>
  <c r="K5" i="19"/>
  <c r="K6" i="19"/>
  <c r="K7" i="19"/>
  <c r="K8" i="19"/>
  <c r="K9" i="19"/>
  <c r="K10" i="19"/>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2" i="19"/>
  <c r="J2" i="19"/>
  <c r="C205" i="19" l="1"/>
  <c r="K66" i="19"/>
  <c r="C66" i="19"/>
  <c r="B66" i="19"/>
  <c r="J3" i="19"/>
  <c r="J4" i="19"/>
  <c r="J5" i="19"/>
  <c r="J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I3" i="19"/>
  <c r="I4"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2" i="19"/>
  <c r="G2" i="19"/>
  <c r="H3" i="19"/>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D2" i="19"/>
  <c r="G3"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J66" i="19" l="1"/>
  <c r="H66" i="19"/>
  <c r="G66" i="19"/>
  <c r="I66" i="19"/>
  <c r="B93" i="14"/>
  <c r="B94" i="14"/>
  <c r="B92" i="14"/>
  <c r="B87" i="14"/>
  <c r="B88" i="14"/>
  <c r="B86" i="14"/>
  <c r="L80" i="14"/>
  <c r="L81" i="14"/>
  <c r="K80" i="14"/>
  <c r="K81" i="14"/>
  <c r="J81" i="14"/>
  <c r="J80" i="14"/>
  <c r="I80" i="14"/>
  <c r="I81" i="14"/>
  <c r="H80" i="14"/>
  <c r="H81" i="14"/>
  <c r="G80" i="14"/>
  <c r="G81" i="14"/>
  <c r="F80" i="14"/>
  <c r="F81" i="14"/>
  <c r="E80" i="14"/>
  <c r="E81" i="14"/>
  <c r="D80" i="14"/>
  <c r="D81" i="14"/>
  <c r="C80" i="14"/>
  <c r="C81" i="14"/>
  <c r="L79" i="14"/>
  <c r="K79" i="14"/>
  <c r="J79" i="14"/>
  <c r="I79" i="14"/>
  <c r="H79" i="14"/>
  <c r="G79" i="14"/>
  <c r="F79" i="14"/>
  <c r="E79" i="14"/>
  <c r="D79" i="14"/>
  <c r="C79" i="14"/>
  <c r="B80" i="14"/>
  <c r="B81" i="14"/>
  <c r="B79" i="14"/>
  <c r="L73" i="14"/>
  <c r="L74" i="14"/>
  <c r="K73" i="14"/>
  <c r="K74" i="14"/>
  <c r="J73" i="14"/>
  <c r="J74" i="14"/>
  <c r="I73" i="14"/>
  <c r="I74" i="14"/>
  <c r="H73" i="14"/>
  <c r="H74" i="14"/>
  <c r="G73" i="14"/>
  <c r="G74" i="14"/>
  <c r="F73" i="14"/>
  <c r="F74" i="14"/>
  <c r="E73" i="14"/>
  <c r="E74" i="14"/>
  <c r="D73" i="14"/>
  <c r="D74" i="14"/>
  <c r="C73" i="14"/>
  <c r="C74" i="14"/>
  <c r="L72" i="14"/>
  <c r="K72" i="14"/>
  <c r="J72" i="14"/>
  <c r="I72" i="14"/>
  <c r="H72" i="14"/>
  <c r="G72" i="14"/>
  <c r="F72" i="14"/>
  <c r="E72" i="14"/>
  <c r="D72" i="14"/>
  <c r="C72" i="14"/>
  <c r="B72" i="14"/>
  <c r="B73" i="14"/>
  <c r="B74" i="14"/>
  <c r="L61" i="14"/>
  <c r="L62" i="14"/>
  <c r="L63" i="14"/>
  <c r="L64" i="14"/>
  <c r="L65" i="14"/>
  <c r="L66" i="14"/>
  <c r="L67" i="14"/>
  <c r="K61" i="14"/>
  <c r="K62" i="14"/>
  <c r="K63" i="14"/>
  <c r="K64" i="14"/>
  <c r="K65" i="14"/>
  <c r="K66" i="14"/>
  <c r="K67" i="14"/>
  <c r="J61" i="14"/>
  <c r="J62" i="14"/>
  <c r="J63" i="14"/>
  <c r="J64" i="14"/>
  <c r="J65" i="14"/>
  <c r="J66" i="14"/>
  <c r="J67" i="14"/>
  <c r="I61" i="14"/>
  <c r="I62" i="14"/>
  <c r="I63" i="14"/>
  <c r="I64" i="14"/>
  <c r="I65" i="14"/>
  <c r="I66" i="14"/>
  <c r="I67" i="14"/>
  <c r="H61" i="14"/>
  <c r="H62" i="14"/>
  <c r="H63" i="14"/>
  <c r="H64" i="14"/>
  <c r="H65" i="14"/>
  <c r="H66" i="14"/>
  <c r="H67" i="14"/>
  <c r="G61" i="14"/>
  <c r="G62" i="14"/>
  <c r="G63" i="14"/>
  <c r="G64" i="14"/>
  <c r="G65" i="14"/>
  <c r="G66" i="14"/>
  <c r="G67" i="14"/>
  <c r="F61" i="14"/>
  <c r="F62" i="14"/>
  <c r="F63" i="14"/>
  <c r="F64" i="14"/>
  <c r="F65" i="14"/>
  <c r="F66" i="14"/>
  <c r="F67" i="14"/>
  <c r="E61" i="14"/>
  <c r="E62" i="14"/>
  <c r="E63" i="14"/>
  <c r="E64" i="14"/>
  <c r="E65" i="14"/>
  <c r="E66" i="14"/>
  <c r="E67" i="14"/>
  <c r="D61" i="14"/>
  <c r="D62" i="14"/>
  <c r="D63" i="14"/>
  <c r="D64" i="14"/>
  <c r="D65" i="14"/>
  <c r="D66" i="14"/>
  <c r="D67" i="14"/>
  <c r="C61" i="14"/>
  <c r="C62" i="14"/>
  <c r="C63" i="14"/>
  <c r="C64" i="14"/>
  <c r="C65" i="14"/>
  <c r="C66" i="14"/>
  <c r="C67" i="14"/>
  <c r="L60" i="14"/>
  <c r="K60" i="14"/>
  <c r="J60" i="14"/>
  <c r="I60" i="14"/>
  <c r="H60" i="14"/>
  <c r="G60" i="14"/>
  <c r="F60" i="14"/>
  <c r="E60" i="14"/>
  <c r="D60" i="14"/>
  <c r="C60" i="14"/>
  <c r="B61" i="14"/>
  <c r="B62" i="14"/>
  <c r="B63" i="14"/>
  <c r="B64" i="14"/>
  <c r="B65" i="14"/>
  <c r="B66" i="14"/>
  <c r="B67" i="14"/>
  <c r="B60" i="14"/>
  <c r="L51" i="14"/>
  <c r="L52" i="14"/>
  <c r="L53" i="14"/>
  <c r="L54" i="14"/>
  <c r="K51" i="14"/>
  <c r="K52" i="14"/>
  <c r="K53" i="14"/>
  <c r="K54" i="14"/>
  <c r="J51" i="14"/>
  <c r="J52" i="14"/>
  <c r="J53" i="14"/>
  <c r="J54" i="14"/>
  <c r="I51" i="14"/>
  <c r="I52" i="14"/>
  <c r="I53" i="14"/>
  <c r="I54" i="14"/>
  <c r="H51" i="14"/>
  <c r="H52" i="14"/>
  <c r="H53" i="14"/>
  <c r="H54" i="14"/>
  <c r="G51" i="14"/>
  <c r="G52" i="14"/>
  <c r="G53" i="14"/>
  <c r="G54" i="14"/>
  <c r="F51" i="14"/>
  <c r="F52" i="14"/>
  <c r="F53" i="14"/>
  <c r="F54" i="14"/>
  <c r="E51" i="14"/>
  <c r="E52" i="14"/>
  <c r="E53" i="14"/>
  <c r="E54" i="14"/>
  <c r="D51" i="14"/>
  <c r="D52" i="14"/>
  <c r="D53" i="14"/>
  <c r="D54" i="14"/>
  <c r="C51" i="14"/>
  <c r="C52" i="14"/>
  <c r="C53" i="14"/>
  <c r="C54" i="14"/>
  <c r="L50" i="14"/>
  <c r="K50" i="14"/>
  <c r="J50" i="14"/>
  <c r="I50" i="14"/>
  <c r="H50" i="14"/>
  <c r="G50" i="14"/>
  <c r="F50" i="14"/>
  <c r="E50" i="14"/>
  <c r="D50" i="14"/>
  <c r="C50" i="14"/>
  <c r="B51" i="14"/>
  <c r="B52" i="14"/>
  <c r="B53" i="14"/>
  <c r="B54" i="14"/>
  <c r="B50" i="14"/>
  <c r="L41" i="14"/>
  <c r="L42" i="14"/>
  <c r="L43" i="14"/>
  <c r="K41" i="14"/>
  <c r="K42" i="14"/>
  <c r="K43" i="14"/>
  <c r="J41" i="14"/>
  <c r="J42" i="14"/>
  <c r="J43" i="14"/>
  <c r="I41" i="14"/>
  <c r="I42" i="14"/>
  <c r="I43" i="14"/>
  <c r="H41" i="14"/>
  <c r="H42" i="14"/>
  <c r="H43" i="14"/>
  <c r="G41" i="14"/>
  <c r="G42" i="14"/>
  <c r="G43" i="14"/>
  <c r="F41" i="14"/>
  <c r="F42" i="14"/>
  <c r="F43" i="14"/>
  <c r="E41" i="14"/>
  <c r="E42" i="14"/>
  <c r="E43" i="14"/>
  <c r="D41" i="14"/>
  <c r="D42" i="14"/>
  <c r="D43" i="14"/>
  <c r="C41" i="14"/>
  <c r="C42" i="14"/>
  <c r="C43" i="14"/>
  <c r="L40" i="14"/>
  <c r="K40" i="14"/>
  <c r="J40" i="14"/>
  <c r="I40" i="14"/>
  <c r="H40" i="14"/>
  <c r="G40" i="14"/>
  <c r="F40" i="14"/>
  <c r="E40" i="14"/>
  <c r="D40" i="14"/>
  <c r="C40" i="14"/>
  <c r="B40" i="14"/>
  <c r="B41" i="14"/>
  <c r="B42" i="14"/>
  <c r="B43" i="14"/>
  <c r="L31" i="14"/>
  <c r="L32" i="14"/>
  <c r="L33" i="14"/>
  <c r="L34" i="14"/>
  <c r="K31" i="14"/>
  <c r="K32" i="14"/>
  <c r="K33" i="14"/>
  <c r="K34" i="14"/>
  <c r="J31" i="14"/>
  <c r="J32" i="14"/>
  <c r="J33" i="14"/>
  <c r="J34" i="14"/>
  <c r="I31" i="14"/>
  <c r="I32" i="14"/>
  <c r="I33" i="14"/>
  <c r="I34" i="14"/>
  <c r="H31" i="14"/>
  <c r="H32" i="14"/>
  <c r="H33" i="14"/>
  <c r="H34" i="14"/>
  <c r="G31" i="14"/>
  <c r="G32" i="14"/>
  <c r="G33" i="14"/>
  <c r="G34" i="14"/>
  <c r="F31" i="14"/>
  <c r="F32" i="14"/>
  <c r="F33" i="14"/>
  <c r="F34" i="14"/>
  <c r="E31" i="14"/>
  <c r="E32" i="14"/>
  <c r="E33" i="14"/>
  <c r="E34" i="14"/>
  <c r="D31" i="14"/>
  <c r="D32" i="14"/>
  <c r="D33" i="14"/>
  <c r="D34" i="14"/>
  <c r="C31" i="14"/>
  <c r="C32" i="14"/>
  <c r="C33" i="14"/>
  <c r="C34" i="14"/>
  <c r="L30" i="14"/>
  <c r="K30" i="14"/>
  <c r="J30" i="14"/>
  <c r="I30" i="14"/>
  <c r="H30" i="14"/>
  <c r="G30" i="14"/>
  <c r="F30" i="14"/>
  <c r="E30" i="14"/>
  <c r="D30" i="14"/>
  <c r="C30" i="14"/>
  <c r="B30" i="14"/>
  <c r="B31" i="14"/>
  <c r="B32" i="14"/>
  <c r="B33" i="14"/>
  <c r="B34" i="14"/>
  <c r="L21" i="14"/>
  <c r="L22" i="14"/>
  <c r="L23" i="14"/>
  <c r="K21" i="14"/>
  <c r="K22" i="14"/>
  <c r="K23" i="14"/>
  <c r="J21" i="14"/>
  <c r="J22" i="14"/>
  <c r="J23" i="14"/>
  <c r="I21" i="14"/>
  <c r="I22" i="14"/>
  <c r="I23" i="14"/>
  <c r="H21" i="14"/>
  <c r="H22" i="14"/>
  <c r="H23" i="14"/>
  <c r="G21" i="14"/>
  <c r="G22" i="14"/>
  <c r="G23" i="14"/>
  <c r="F21" i="14"/>
  <c r="F22" i="14"/>
  <c r="F23" i="14"/>
  <c r="E21" i="14"/>
  <c r="E22" i="14"/>
  <c r="E23" i="14"/>
  <c r="D21" i="14"/>
  <c r="D22" i="14"/>
  <c r="D23" i="14"/>
  <c r="C23" i="14"/>
  <c r="C21" i="14"/>
  <c r="C22" i="14"/>
  <c r="L20" i="14"/>
  <c r="K20" i="14"/>
  <c r="J20" i="14"/>
  <c r="I20" i="14"/>
  <c r="H20" i="14"/>
  <c r="G20" i="14"/>
  <c r="F20" i="14"/>
  <c r="E20" i="14"/>
  <c r="D20" i="14"/>
  <c r="C20" i="14"/>
  <c r="B20" i="14"/>
  <c r="B21" i="14"/>
  <c r="B22" i="14"/>
  <c r="B23" i="14"/>
  <c r="L11" i="14"/>
  <c r="L12" i="14"/>
  <c r="L13" i="14"/>
  <c r="L14" i="14"/>
  <c r="K11" i="14"/>
  <c r="K12" i="14"/>
  <c r="K13" i="14"/>
  <c r="K14" i="14"/>
  <c r="J11" i="14"/>
  <c r="J12" i="14"/>
  <c r="J13" i="14"/>
  <c r="J14" i="14"/>
  <c r="I11" i="14"/>
  <c r="I12" i="14"/>
  <c r="I13" i="14"/>
  <c r="I14" i="14"/>
  <c r="H11" i="14"/>
  <c r="H12" i="14"/>
  <c r="H13" i="14"/>
  <c r="H14" i="14"/>
  <c r="G11" i="14"/>
  <c r="G12" i="14"/>
  <c r="G13" i="14"/>
  <c r="G14" i="14"/>
  <c r="F11" i="14"/>
  <c r="F12" i="14"/>
  <c r="F13" i="14"/>
  <c r="F14" i="14"/>
  <c r="E11" i="14"/>
  <c r="E12" i="14"/>
  <c r="E13" i="14"/>
  <c r="E14" i="14"/>
  <c r="D11" i="14"/>
  <c r="D12" i="14"/>
  <c r="D13" i="14"/>
  <c r="D14" i="14"/>
  <c r="C11" i="14"/>
  <c r="C12" i="14"/>
  <c r="C13" i="14"/>
  <c r="C14" i="14"/>
  <c r="L10" i="14"/>
  <c r="K10" i="14"/>
  <c r="J10" i="14"/>
  <c r="I10" i="14"/>
  <c r="H10" i="14"/>
  <c r="G10" i="14"/>
  <c r="F10" i="14"/>
  <c r="E10" i="14"/>
  <c r="D10" i="14"/>
  <c r="C10" i="14"/>
  <c r="B10" i="14"/>
  <c r="B11" i="14"/>
  <c r="B12" i="14"/>
  <c r="B13" i="14"/>
  <c r="B14" i="14"/>
  <c r="L6" i="13"/>
  <c r="L7" i="13"/>
  <c r="L8" i="13"/>
  <c r="L9" i="13"/>
  <c r="L5" i="13"/>
  <c r="K6" i="13"/>
  <c r="K7" i="13"/>
  <c r="K8" i="13"/>
  <c r="K9" i="13"/>
  <c r="K5" i="13"/>
  <c r="J6" i="13"/>
  <c r="J7" i="13"/>
  <c r="J8" i="13"/>
  <c r="J9" i="13"/>
  <c r="J5" i="13"/>
  <c r="I6" i="13"/>
  <c r="I7" i="13"/>
  <c r="I8" i="13"/>
  <c r="I9" i="13"/>
  <c r="I5" i="13"/>
  <c r="H5" i="13"/>
  <c r="H6" i="13"/>
  <c r="H7" i="13"/>
  <c r="H8" i="13"/>
  <c r="H9" i="13"/>
  <c r="G6" i="13"/>
  <c r="G7" i="13"/>
  <c r="G8" i="13"/>
  <c r="G9" i="13"/>
  <c r="G5" i="13"/>
  <c r="F6" i="13"/>
  <c r="F7" i="13"/>
  <c r="F8" i="13"/>
  <c r="F9" i="13"/>
  <c r="F5" i="13"/>
  <c r="E6" i="13"/>
  <c r="E7" i="13"/>
  <c r="E8" i="13"/>
  <c r="E9" i="13"/>
  <c r="E5" i="13"/>
  <c r="D6" i="13"/>
  <c r="D7" i="13"/>
  <c r="D8" i="13"/>
  <c r="D9" i="13"/>
  <c r="D5" i="13"/>
  <c r="C5" i="13"/>
  <c r="C6" i="13"/>
  <c r="C7" i="13"/>
  <c r="C8" i="13"/>
  <c r="C9" i="13"/>
  <c r="B5" i="13"/>
  <c r="B6" i="13"/>
  <c r="B7" i="13"/>
  <c r="B8" i="13"/>
  <c r="B9" i="13"/>
  <c r="B5" i="17"/>
  <c r="B6" i="17"/>
  <c r="B7" i="17"/>
  <c r="B8" i="17"/>
  <c r="B9" i="17"/>
  <c r="B4" i="17"/>
  <c r="L38" i="12"/>
  <c r="L39" i="12"/>
  <c r="K38" i="12"/>
  <c r="K39" i="12"/>
  <c r="J38" i="12"/>
  <c r="J39" i="12"/>
  <c r="I38" i="12"/>
  <c r="I39" i="12"/>
  <c r="H38" i="12"/>
  <c r="H39" i="12"/>
  <c r="G38" i="12"/>
  <c r="G39" i="12"/>
  <c r="F38" i="12"/>
  <c r="F39" i="12"/>
  <c r="E38" i="12"/>
  <c r="E39" i="12"/>
  <c r="D38" i="12"/>
  <c r="D39" i="12"/>
  <c r="L37" i="12"/>
  <c r="K37" i="12"/>
  <c r="J37" i="12"/>
  <c r="I37" i="12"/>
  <c r="H37" i="12"/>
  <c r="G37" i="12"/>
  <c r="F37" i="12"/>
  <c r="E37" i="12"/>
  <c r="D37" i="12"/>
  <c r="C39" i="12"/>
  <c r="C38" i="12"/>
  <c r="C37" i="12"/>
  <c r="B37" i="12"/>
  <c r="B38" i="12"/>
  <c r="B39" i="12"/>
  <c r="L28" i="12"/>
  <c r="L29" i="12"/>
  <c r="L30" i="12"/>
  <c r="L31" i="12"/>
  <c r="L27" i="12"/>
  <c r="K28" i="12"/>
  <c r="K29" i="12"/>
  <c r="K30" i="12"/>
  <c r="K31" i="12"/>
  <c r="K27" i="12"/>
  <c r="J28" i="12"/>
  <c r="J29" i="12"/>
  <c r="J30" i="12"/>
  <c r="J31" i="12"/>
  <c r="J27" i="12"/>
  <c r="I28" i="12"/>
  <c r="I29" i="12"/>
  <c r="I30" i="12"/>
  <c r="I31" i="12"/>
  <c r="I27" i="12"/>
  <c r="H28" i="12"/>
  <c r="H29" i="12"/>
  <c r="H30" i="12"/>
  <c r="H31" i="12"/>
  <c r="H27" i="12"/>
  <c r="G28" i="12"/>
  <c r="G29" i="12"/>
  <c r="G30" i="12"/>
  <c r="G31" i="12"/>
  <c r="G27" i="12"/>
  <c r="F28" i="12"/>
  <c r="F29" i="12"/>
  <c r="F30" i="12"/>
  <c r="F31" i="12"/>
  <c r="F27" i="12"/>
  <c r="E28" i="12"/>
  <c r="E29" i="12"/>
  <c r="E30" i="12"/>
  <c r="E31" i="12"/>
  <c r="E27" i="12"/>
  <c r="D28" i="12"/>
  <c r="D29" i="12"/>
  <c r="D30" i="12"/>
  <c r="D31" i="12"/>
  <c r="D27" i="12"/>
  <c r="C28" i="12"/>
  <c r="C29" i="12"/>
  <c r="C30" i="12"/>
  <c r="C31" i="12"/>
  <c r="C27" i="12"/>
  <c r="B28" i="12"/>
  <c r="B29" i="12"/>
  <c r="B30" i="12"/>
  <c r="B31" i="12"/>
  <c r="B27" i="12"/>
  <c r="L16" i="12"/>
  <c r="L17" i="12"/>
  <c r="L18" i="12"/>
  <c r="L19" i="12"/>
  <c r="L20" i="12"/>
  <c r="L21" i="12"/>
  <c r="L22" i="12"/>
  <c r="K16" i="12"/>
  <c r="K17" i="12"/>
  <c r="K18" i="12"/>
  <c r="K19" i="12"/>
  <c r="K20" i="12"/>
  <c r="K21" i="12"/>
  <c r="K22" i="12"/>
  <c r="J16" i="12"/>
  <c r="J17" i="12"/>
  <c r="J18" i="12"/>
  <c r="J19" i="12"/>
  <c r="J20" i="12"/>
  <c r="J21" i="12"/>
  <c r="J22" i="12"/>
  <c r="I16" i="12"/>
  <c r="I17" i="12"/>
  <c r="I18" i="12"/>
  <c r="I19" i="12"/>
  <c r="I20" i="12"/>
  <c r="I21" i="12"/>
  <c r="I22" i="12"/>
  <c r="H16" i="12"/>
  <c r="H17" i="12"/>
  <c r="H18" i="12"/>
  <c r="H19" i="12"/>
  <c r="H20" i="12"/>
  <c r="H21" i="12"/>
  <c r="H22" i="12"/>
  <c r="G16" i="12"/>
  <c r="G17" i="12"/>
  <c r="G18" i="12"/>
  <c r="G19" i="12"/>
  <c r="G20" i="12"/>
  <c r="G21" i="12"/>
  <c r="G22" i="12"/>
  <c r="F16" i="12"/>
  <c r="F17" i="12"/>
  <c r="F18" i="12"/>
  <c r="F19" i="12"/>
  <c r="F20" i="12"/>
  <c r="F21" i="12"/>
  <c r="F22" i="12"/>
  <c r="E16" i="12"/>
  <c r="E17" i="12"/>
  <c r="E18" i="12"/>
  <c r="E19" i="12"/>
  <c r="E20" i="12"/>
  <c r="E21" i="12"/>
  <c r="E22" i="12"/>
  <c r="D16" i="12"/>
  <c r="D17" i="12"/>
  <c r="D18" i="12"/>
  <c r="D19" i="12"/>
  <c r="D20" i="12"/>
  <c r="D21" i="12"/>
  <c r="D22" i="12"/>
  <c r="L15" i="12"/>
  <c r="K15" i="12"/>
  <c r="J15" i="12"/>
  <c r="I15" i="12"/>
  <c r="H15" i="12"/>
  <c r="G15" i="12"/>
  <c r="F15" i="12"/>
  <c r="E15" i="12"/>
  <c r="D15" i="12"/>
  <c r="C16" i="12"/>
  <c r="C17" i="12"/>
  <c r="C18" i="12"/>
  <c r="C19" i="12"/>
  <c r="C20" i="12"/>
  <c r="C21" i="12"/>
  <c r="C22" i="12"/>
  <c r="C15" i="12"/>
  <c r="B15" i="12"/>
  <c r="B16" i="12"/>
  <c r="B17" i="12"/>
  <c r="B18" i="12"/>
  <c r="B19" i="12"/>
  <c r="B20" i="12"/>
  <c r="B21" i="12"/>
  <c r="B22" i="12"/>
  <c r="L6" i="12"/>
  <c r="L7" i="12"/>
  <c r="L8" i="12"/>
  <c r="L9" i="12"/>
  <c r="L5" i="12"/>
  <c r="K6" i="12"/>
  <c r="K7" i="12"/>
  <c r="K8" i="12"/>
  <c r="K9" i="12"/>
  <c r="K5" i="12"/>
  <c r="J6" i="12"/>
  <c r="J7" i="12"/>
  <c r="J8" i="12"/>
  <c r="J9" i="12"/>
  <c r="J5" i="12"/>
  <c r="I6" i="12"/>
  <c r="I7" i="12"/>
  <c r="I8" i="12"/>
  <c r="I9" i="12"/>
  <c r="I5" i="12"/>
  <c r="H6" i="12"/>
  <c r="H7" i="12"/>
  <c r="H8" i="12"/>
  <c r="H9" i="12"/>
  <c r="H5" i="12"/>
  <c r="G6" i="12"/>
  <c r="G7" i="12"/>
  <c r="G8" i="12"/>
  <c r="G9" i="12"/>
  <c r="G5" i="12"/>
  <c r="F6" i="12"/>
  <c r="F7" i="12"/>
  <c r="F8" i="12"/>
  <c r="F9" i="12"/>
  <c r="F5" i="12"/>
  <c r="E6" i="12"/>
  <c r="E7" i="12"/>
  <c r="E8" i="12"/>
  <c r="E9" i="12"/>
  <c r="E5" i="12"/>
  <c r="D6" i="12"/>
  <c r="D7" i="12"/>
  <c r="D8" i="12"/>
  <c r="D9" i="12"/>
  <c r="D5" i="12"/>
  <c r="C6" i="12"/>
  <c r="C7" i="12"/>
  <c r="C8" i="12"/>
  <c r="C9" i="12"/>
  <c r="C5" i="12"/>
  <c r="B5" i="12"/>
  <c r="B6" i="12"/>
  <c r="B7" i="12"/>
  <c r="B8" i="12"/>
  <c r="B9" i="12"/>
  <c r="L34" i="11"/>
  <c r="L35" i="11"/>
  <c r="L33" i="11"/>
  <c r="K34" i="11"/>
  <c r="K35" i="11"/>
  <c r="K33" i="11"/>
  <c r="J34" i="11"/>
  <c r="J35" i="11"/>
  <c r="J33" i="11"/>
  <c r="I34" i="11"/>
  <c r="I35" i="11"/>
  <c r="I33" i="11"/>
  <c r="H34" i="11"/>
  <c r="H35" i="11"/>
  <c r="H33" i="11"/>
  <c r="G34" i="11"/>
  <c r="G35" i="11"/>
  <c r="G33" i="11"/>
  <c r="F34" i="11"/>
  <c r="F35" i="11"/>
  <c r="F33" i="11"/>
  <c r="E34" i="11"/>
  <c r="E35" i="11"/>
  <c r="E33" i="11"/>
  <c r="D34" i="11"/>
  <c r="D35" i="11"/>
  <c r="D33" i="11"/>
  <c r="C33" i="11"/>
  <c r="C34" i="11"/>
  <c r="C35" i="11"/>
  <c r="B33" i="11"/>
  <c r="B34" i="11"/>
  <c r="B35" i="11"/>
  <c r="L24" i="11"/>
  <c r="L25" i="11"/>
  <c r="L26" i="11"/>
  <c r="L27" i="11"/>
  <c r="L23" i="11"/>
  <c r="K24" i="11"/>
  <c r="K25" i="11"/>
  <c r="K26" i="11"/>
  <c r="K27" i="11"/>
  <c r="K23" i="11"/>
  <c r="J24" i="11"/>
  <c r="J25" i="11"/>
  <c r="J26" i="11"/>
  <c r="J27" i="11"/>
  <c r="J23" i="11"/>
  <c r="I24" i="11"/>
  <c r="I25" i="11"/>
  <c r="I26" i="11"/>
  <c r="I27" i="11"/>
  <c r="I23" i="11"/>
  <c r="H24" i="11"/>
  <c r="H25" i="11"/>
  <c r="H26" i="11"/>
  <c r="H27" i="11"/>
  <c r="H23" i="11"/>
  <c r="G24" i="11"/>
  <c r="G25" i="11"/>
  <c r="G26" i="11"/>
  <c r="G27" i="11"/>
  <c r="G23" i="11"/>
  <c r="F24" i="11"/>
  <c r="F25" i="11"/>
  <c r="F26" i="11"/>
  <c r="F27" i="11"/>
  <c r="F23" i="11"/>
  <c r="E24" i="11"/>
  <c r="E25" i="11"/>
  <c r="E26" i="11"/>
  <c r="E27" i="11"/>
  <c r="E23" i="11"/>
  <c r="D24" i="11"/>
  <c r="D25" i="11"/>
  <c r="D26" i="11"/>
  <c r="D27" i="11"/>
  <c r="D23" i="11"/>
  <c r="C23" i="11"/>
  <c r="C24" i="11"/>
  <c r="C25" i="11"/>
  <c r="C26" i="11"/>
  <c r="C27" i="11"/>
  <c r="B23" i="11"/>
  <c r="L35" i="14" l="1"/>
  <c r="J44" i="14"/>
  <c r="J10" i="12"/>
  <c r="K10" i="12"/>
  <c r="L10" i="12"/>
  <c r="J32" i="12"/>
  <c r="J40" i="12"/>
  <c r="J35" i="14"/>
  <c r="J36" i="11"/>
  <c r="E10" i="12"/>
  <c r="D10" i="12"/>
  <c r="F10" i="12"/>
  <c r="H10" i="12"/>
  <c r="C36" i="11"/>
  <c r="I10" i="12"/>
  <c r="C10" i="12"/>
  <c r="G10" i="12"/>
  <c r="C40" i="12"/>
  <c r="F32" i="12"/>
  <c r="G15" i="14"/>
  <c r="D35" i="14"/>
  <c r="H35" i="14"/>
  <c r="F35" i="14"/>
  <c r="E55" i="14"/>
  <c r="I55" i="14"/>
  <c r="C68" i="14"/>
  <c r="C82" i="14"/>
  <c r="C23" i="12"/>
  <c r="J23" i="12"/>
  <c r="E28" i="11"/>
  <c r="I28" i="11"/>
  <c r="F28" i="11"/>
  <c r="G28" i="11"/>
  <c r="K28" i="11"/>
  <c r="J28" i="11"/>
  <c r="C28" i="11"/>
  <c r="D28" i="11"/>
  <c r="H28" i="11"/>
  <c r="L28" i="11"/>
  <c r="K15" i="14"/>
  <c r="J10" i="13"/>
  <c r="F10" i="13"/>
  <c r="G10" i="13"/>
  <c r="K10" i="13"/>
  <c r="D10" i="13"/>
  <c r="H10" i="13"/>
  <c r="L10" i="13"/>
  <c r="C10" i="13"/>
  <c r="E10" i="13"/>
  <c r="I10" i="13"/>
  <c r="C32" i="12"/>
  <c r="G32" i="12"/>
  <c r="K32" i="12"/>
  <c r="D32" i="12"/>
  <c r="H32" i="12"/>
  <c r="L32" i="12"/>
  <c r="E32" i="12"/>
  <c r="I32" i="12"/>
  <c r="D15" i="14"/>
  <c r="H15" i="14"/>
  <c r="L15" i="14"/>
  <c r="C15" i="14"/>
  <c r="F15" i="14"/>
  <c r="J15" i="14"/>
  <c r="J24" i="14"/>
  <c r="E35" i="14"/>
  <c r="I35" i="14"/>
  <c r="C44" i="14"/>
  <c r="F55" i="14"/>
  <c r="J55" i="14"/>
  <c r="E15" i="14"/>
  <c r="I15" i="14"/>
  <c r="C24" i="14"/>
  <c r="C55" i="14"/>
  <c r="G55" i="14"/>
  <c r="K55" i="14"/>
  <c r="J75" i="14"/>
  <c r="C35" i="14"/>
  <c r="G35" i="14"/>
  <c r="K35" i="14"/>
  <c r="J36" i="14" s="1"/>
  <c r="D55" i="14"/>
  <c r="H55" i="14"/>
  <c r="L55" i="14"/>
  <c r="J68" i="14"/>
  <c r="C75" i="14"/>
  <c r="J82" i="14"/>
  <c r="B10" i="17"/>
  <c r="B24" i="11"/>
  <c r="B25" i="11"/>
  <c r="B26" i="11"/>
  <c r="B27" i="11"/>
  <c r="L16" i="11"/>
  <c r="L17" i="11"/>
  <c r="L18" i="11"/>
  <c r="L15" i="11"/>
  <c r="K16" i="11"/>
  <c r="K17" i="11"/>
  <c r="K18" i="11"/>
  <c r="K15" i="11"/>
  <c r="J16" i="11"/>
  <c r="J17" i="11"/>
  <c r="J18" i="11"/>
  <c r="J15" i="11"/>
  <c r="I16" i="11"/>
  <c r="I17" i="11"/>
  <c r="I18" i="11"/>
  <c r="H16" i="11"/>
  <c r="H17" i="11"/>
  <c r="H18" i="11"/>
  <c r="G16" i="11"/>
  <c r="G17" i="11"/>
  <c r="G18" i="11"/>
  <c r="F17" i="11"/>
  <c r="F18" i="11"/>
  <c r="F15" i="11"/>
  <c r="E16" i="11"/>
  <c r="E17" i="11"/>
  <c r="E18" i="11"/>
  <c r="D16" i="11"/>
  <c r="D17" i="11"/>
  <c r="D18" i="11"/>
  <c r="I15" i="11"/>
  <c r="H15" i="11"/>
  <c r="G15" i="11"/>
  <c r="F16" i="11"/>
  <c r="E15" i="11"/>
  <c r="D15" i="11"/>
  <c r="C15" i="11"/>
  <c r="C16" i="11"/>
  <c r="C17" i="11"/>
  <c r="C18" i="11"/>
  <c r="B15" i="11"/>
  <c r="B16" i="11"/>
  <c r="B17" i="11"/>
  <c r="B18" i="11"/>
  <c r="L6" i="11"/>
  <c r="L7" i="11"/>
  <c r="L8" i="11"/>
  <c r="L9" i="11"/>
  <c r="L5" i="11"/>
  <c r="K6" i="11"/>
  <c r="K7" i="11"/>
  <c r="K8" i="11"/>
  <c r="K9" i="11"/>
  <c r="K5" i="11"/>
  <c r="J5" i="11"/>
  <c r="J6" i="11"/>
  <c r="J7" i="11"/>
  <c r="J8" i="11"/>
  <c r="J9" i="11"/>
  <c r="I6" i="11"/>
  <c r="I7" i="11"/>
  <c r="I8" i="11"/>
  <c r="I9" i="11"/>
  <c r="H6" i="11"/>
  <c r="H7" i="11"/>
  <c r="H8" i="11"/>
  <c r="H9" i="11"/>
  <c r="G6" i="11"/>
  <c r="G7" i="11"/>
  <c r="G8" i="11"/>
  <c r="G9" i="11"/>
  <c r="F6" i="11"/>
  <c r="F7" i="11"/>
  <c r="F8" i="11"/>
  <c r="F9" i="11"/>
  <c r="I5" i="11"/>
  <c r="H5" i="11"/>
  <c r="G5" i="11"/>
  <c r="F5" i="11"/>
  <c r="E6" i="11"/>
  <c r="E7" i="11"/>
  <c r="E8" i="11"/>
  <c r="E9" i="11"/>
  <c r="E5" i="11"/>
  <c r="D6" i="11"/>
  <c r="D7" i="11"/>
  <c r="D8" i="11"/>
  <c r="D9" i="11"/>
  <c r="D5" i="11"/>
  <c r="C5" i="11"/>
  <c r="C6" i="11"/>
  <c r="C7" i="11"/>
  <c r="C8" i="11"/>
  <c r="C9" i="11"/>
  <c r="B5" i="11"/>
  <c r="B6" i="11"/>
  <c r="B7" i="11"/>
  <c r="B8" i="11"/>
  <c r="B9" i="11"/>
  <c r="L45" i="10"/>
  <c r="L46" i="10"/>
  <c r="L44" i="10"/>
  <c r="K45" i="10"/>
  <c r="K46" i="10"/>
  <c r="K44" i="10"/>
  <c r="J45" i="10"/>
  <c r="J46" i="10"/>
  <c r="J44" i="10"/>
  <c r="I45" i="10"/>
  <c r="I46" i="10"/>
  <c r="I44" i="10"/>
  <c r="H45" i="10"/>
  <c r="H46" i="10"/>
  <c r="H44" i="10"/>
  <c r="G45" i="10"/>
  <c r="G46" i="10"/>
  <c r="G44" i="10"/>
  <c r="F45" i="10"/>
  <c r="F46" i="10"/>
  <c r="F44" i="10"/>
  <c r="E45" i="10"/>
  <c r="E46" i="10"/>
  <c r="E44" i="10"/>
  <c r="D45" i="10"/>
  <c r="D46" i="10"/>
  <c r="D44" i="10"/>
  <c r="C44" i="10"/>
  <c r="C45" i="10"/>
  <c r="C46" i="10"/>
  <c r="B44" i="10"/>
  <c r="B45" i="10"/>
  <c r="B46" i="10"/>
  <c r="L37" i="10"/>
  <c r="L38" i="10"/>
  <c r="L36" i="10"/>
  <c r="K37" i="10"/>
  <c r="K38" i="10"/>
  <c r="K36" i="10"/>
  <c r="J37" i="10"/>
  <c r="J38" i="10"/>
  <c r="J36" i="10"/>
  <c r="I36" i="10"/>
  <c r="I37" i="10"/>
  <c r="I38" i="10"/>
  <c r="H37" i="10"/>
  <c r="H38" i="10"/>
  <c r="H36" i="10"/>
  <c r="G37" i="10"/>
  <c r="G38" i="10"/>
  <c r="G36" i="10"/>
  <c r="F37" i="10"/>
  <c r="F38" i="10"/>
  <c r="F36" i="10"/>
  <c r="E37" i="10"/>
  <c r="E38" i="10"/>
  <c r="E36" i="10"/>
  <c r="D37" i="10"/>
  <c r="D38" i="10"/>
  <c r="D36" i="10"/>
  <c r="C36" i="10"/>
  <c r="C37" i="10"/>
  <c r="C38" i="10"/>
  <c r="B36" i="10"/>
  <c r="B37" i="10"/>
  <c r="B38" i="10"/>
  <c r="L29" i="10"/>
  <c r="L30" i="10"/>
  <c r="L28" i="10"/>
  <c r="K29" i="10"/>
  <c r="K30" i="10"/>
  <c r="K28" i="10"/>
  <c r="J29" i="10"/>
  <c r="J30" i="10"/>
  <c r="J28" i="10"/>
  <c r="I28" i="10"/>
  <c r="J21" i="10"/>
  <c r="J20" i="10"/>
  <c r="I29" i="10"/>
  <c r="I30" i="10"/>
  <c r="H29" i="10"/>
  <c r="H30" i="10"/>
  <c r="H28" i="10"/>
  <c r="G29" i="10"/>
  <c r="G30" i="10"/>
  <c r="G28" i="10"/>
  <c r="F29" i="10"/>
  <c r="F30" i="10"/>
  <c r="F28" i="10"/>
  <c r="E29" i="10"/>
  <c r="E30" i="10"/>
  <c r="E28" i="10"/>
  <c r="D29" i="10"/>
  <c r="D30" i="10"/>
  <c r="D28" i="10"/>
  <c r="C28" i="10"/>
  <c r="C29" i="10"/>
  <c r="C30" i="10"/>
  <c r="B28" i="10"/>
  <c r="B29" i="10"/>
  <c r="B30" i="10"/>
  <c r="L21" i="10"/>
  <c r="L22" i="10"/>
  <c r="L23" i="10"/>
  <c r="L20" i="10"/>
  <c r="J22" i="10"/>
  <c r="J23" i="10"/>
  <c r="K21" i="10"/>
  <c r="K22" i="10"/>
  <c r="K23" i="10"/>
  <c r="K20" i="10"/>
  <c r="I21" i="10"/>
  <c r="I22" i="10"/>
  <c r="I23" i="10"/>
  <c r="I20" i="10"/>
  <c r="H20" i="10"/>
  <c r="H21" i="10"/>
  <c r="H22" i="10"/>
  <c r="H23" i="10"/>
  <c r="G21" i="10"/>
  <c r="G22" i="10"/>
  <c r="G23" i="10"/>
  <c r="G20" i="10"/>
  <c r="F21" i="10"/>
  <c r="F22" i="10"/>
  <c r="F23" i="10"/>
  <c r="F20" i="10"/>
  <c r="E21" i="10"/>
  <c r="E22" i="10"/>
  <c r="E23" i="10"/>
  <c r="E20" i="10"/>
  <c r="D21" i="10"/>
  <c r="D22" i="10"/>
  <c r="D23" i="10"/>
  <c r="D20" i="10"/>
  <c r="C21" i="10"/>
  <c r="C22" i="10"/>
  <c r="C23" i="10"/>
  <c r="C20" i="10"/>
  <c r="B12" i="10"/>
  <c r="B13" i="10"/>
  <c r="B14" i="10"/>
  <c r="B11" i="10"/>
  <c r="B6" i="10"/>
  <c r="B7" i="10"/>
  <c r="B5" i="10"/>
  <c r="B51" i="9"/>
  <c r="B50" i="9"/>
  <c r="K31" i="10" l="1"/>
  <c r="J16" i="14"/>
  <c r="J19" i="11"/>
  <c r="J11" i="12"/>
  <c r="J10" i="11"/>
  <c r="K10" i="11"/>
  <c r="L10" i="11"/>
  <c r="C19" i="11"/>
  <c r="D10" i="11"/>
  <c r="H10" i="11"/>
  <c r="F10" i="11"/>
  <c r="L31" i="10"/>
  <c r="C11" i="12"/>
  <c r="H31" i="10"/>
  <c r="J31" i="10"/>
  <c r="J47" i="10"/>
  <c r="L39" i="10"/>
  <c r="K39" i="10"/>
  <c r="J39" i="10"/>
  <c r="I31" i="10"/>
  <c r="D39" i="10"/>
  <c r="H39" i="10"/>
  <c r="C47" i="10"/>
  <c r="E10" i="11"/>
  <c r="I10" i="11"/>
  <c r="D31" i="10"/>
  <c r="C10" i="11"/>
  <c r="G10" i="11"/>
  <c r="C31" i="10"/>
  <c r="E31" i="10"/>
  <c r="G31" i="10"/>
  <c r="G39" i="10"/>
  <c r="I39" i="10"/>
  <c r="F31" i="10"/>
  <c r="C39" i="10"/>
  <c r="F39" i="10"/>
  <c r="E39" i="10"/>
  <c r="J52" i="9"/>
  <c r="C29" i="11"/>
  <c r="J29" i="11"/>
  <c r="C36" i="14"/>
  <c r="C56" i="14"/>
  <c r="J56" i="14"/>
  <c r="C16" i="14"/>
  <c r="J11" i="13"/>
  <c r="C11" i="13"/>
  <c r="C33" i="12"/>
  <c r="J33" i="12"/>
  <c r="B15" i="10"/>
  <c r="C52" i="9"/>
  <c r="G52" i="9"/>
  <c r="I52" i="9"/>
  <c r="K52" i="9"/>
  <c r="E52" i="9"/>
  <c r="D52" i="9"/>
  <c r="B52" i="9"/>
  <c r="F52" i="9"/>
  <c r="H52" i="9"/>
  <c r="B37" i="9"/>
  <c r="B38" i="9"/>
  <c r="B39" i="9"/>
  <c r="B40" i="9"/>
  <c r="B41" i="9"/>
  <c r="B42" i="9"/>
  <c r="B43" i="9"/>
  <c r="B44" i="9"/>
  <c r="B36" i="9"/>
  <c r="B32" i="9"/>
  <c r="B31" i="9"/>
  <c r="B21" i="9"/>
  <c r="B22" i="9"/>
  <c r="B23" i="9"/>
  <c r="B24" i="9"/>
  <c r="B25" i="9"/>
  <c r="B26" i="9"/>
  <c r="B20" i="9"/>
  <c r="B5" i="9"/>
  <c r="B4" i="9"/>
  <c r="B15" i="9"/>
  <c r="B16" i="9"/>
  <c r="B11" i="9"/>
  <c r="B12" i="9"/>
  <c r="B13" i="9"/>
  <c r="B14" i="9"/>
  <c r="B10" i="9"/>
  <c r="L53" i="21"/>
  <c r="L54" i="21"/>
  <c r="L55" i="21"/>
  <c r="L56" i="21"/>
  <c r="L57" i="21"/>
  <c r="L52" i="21"/>
  <c r="K53" i="21"/>
  <c r="K54" i="21"/>
  <c r="K55" i="21"/>
  <c r="K56" i="21"/>
  <c r="K57" i="21"/>
  <c r="K52" i="21"/>
  <c r="J53" i="21"/>
  <c r="J54" i="21"/>
  <c r="J55" i="21"/>
  <c r="J56" i="21"/>
  <c r="J57" i="21"/>
  <c r="J52" i="21"/>
  <c r="I53" i="21"/>
  <c r="I54" i="21"/>
  <c r="I55" i="21"/>
  <c r="I56" i="21"/>
  <c r="I57" i="21"/>
  <c r="I52" i="21"/>
  <c r="H53" i="21"/>
  <c r="H54" i="21"/>
  <c r="H55" i="21"/>
  <c r="H56" i="21"/>
  <c r="H57" i="21"/>
  <c r="H52" i="21"/>
  <c r="G53" i="21"/>
  <c r="G54" i="21"/>
  <c r="G55" i="21"/>
  <c r="G56" i="21"/>
  <c r="G57" i="21"/>
  <c r="G52" i="21"/>
  <c r="F53" i="21"/>
  <c r="F54" i="21"/>
  <c r="F55" i="21"/>
  <c r="F56" i="21"/>
  <c r="F57" i="21"/>
  <c r="F52" i="21"/>
  <c r="E53" i="21"/>
  <c r="E54" i="21"/>
  <c r="E55" i="21"/>
  <c r="E56" i="21"/>
  <c r="E57" i="21"/>
  <c r="E52" i="21"/>
  <c r="D52" i="21"/>
  <c r="D53" i="21"/>
  <c r="D54" i="21"/>
  <c r="D55" i="21"/>
  <c r="D56" i="21"/>
  <c r="D57" i="21"/>
  <c r="C52" i="21"/>
  <c r="C53" i="21"/>
  <c r="C54" i="21"/>
  <c r="C55" i="21"/>
  <c r="C56" i="21"/>
  <c r="C57" i="21"/>
  <c r="B52" i="21"/>
  <c r="B53" i="21"/>
  <c r="B54" i="21"/>
  <c r="B55" i="21"/>
  <c r="B56" i="21"/>
  <c r="B57" i="21"/>
  <c r="L42" i="21"/>
  <c r="L43" i="21"/>
  <c r="L44" i="21"/>
  <c r="L45" i="21"/>
  <c r="L46" i="21"/>
  <c r="L41" i="21"/>
  <c r="K42" i="21"/>
  <c r="K43" i="21"/>
  <c r="K44" i="21"/>
  <c r="K45" i="21"/>
  <c r="K46" i="21"/>
  <c r="K41" i="21"/>
  <c r="J42" i="21"/>
  <c r="J43" i="21"/>
  <c r="J44" i="21"/>
  <c r="J45" i="21"/>
  <c r="J46" i="21"/>
  <c r="J41" i="21"/>
  <c r="I42" i="21"/>
  <c r="I43" i="21"/>
  <c r="I44" i="21"/>
  <c r="I45" i="21"/>
  <c r="I46" i="21"/>
  <c r="I41" i="21"/>
  <c r="H42" i="21"/>
  <c r="H43" i="21"/>
  <c r="H44" i="21"/>
  <c r="H45" i="21"/>
  <c r="H46" i="21"/>
  <c r="H41" i="21"/>
  <c r="G41" i="21"/>
  <c r="G42" i="21"/>
  <c r="G43" i="21"/>
  <c r="G44" i="21"/>
  <c r="G45" i="21"/>
  <c r="G46" i="21"/>
  <c r="F42" i="21"/>
  <c r="F43" i="21"/>
  <c r="F44" i="21"/>
  <c r="F45" i="21"/>
  <c r="F46" i="21"/>
  <c r="F41" i="21"/>
  <c r="E42" i="21"/>
  <c r="E43" i="21"/>
  <c r="E44" i="21"/>
  <c r="E45" i="21"/>
  <c r="E46" i="21"/>
  <c r="E41" i="21"/>
  <c r="D42" i="21"/>
  <c r="D43" i="21"/>
  <c r="D44" i="21"/>
  <c r="D45" i="21"/>
  <c r="D46" i="21"/>
  <c r="D41" i="21"/>
  <c r="C41" i="21"/>
  <c r="C42" i="21"/>
  <c r="C43" i="21"/>
  <c r="C44" i="21"/>
  <c r="C45" i="21"/>
  <c r="C46" i="21"/>
  <c r="B41" i="21"/>
  <c r="B42" i="21"/>
  <c r="B43" i="21"/>
  <c r="B44" i="21"/>
  <c r="B45" i="21"/>
  <c r="B46" i="21"/>
  <c r="L31" i="21"/>
  <c r="L32" i="21"/>
  <c r="L33" i="21"/>
  <c r="L34" i="21"/>
  <c r="L35" i="21"/>
  <c r="L30" i="21"/>
  <c r="K31" i="21"/>
  <c r="K32" i="21"/>
  <c r="K33" i="21"/>
  <c r="K34" i="21"/>
  <c r="K35" i="21"/>
  <c r="K30" i="21"/>
  <c r="J31" i="21"/>
  <c r="J32" i="21"/>
  <c r="J33" i="21"/>
  <c r="J34" i="21"/>
  <c r="J35" i="21"/>
  <c r="J30" i="21"/>
  <c r="I30" i="21"/>
  <c r="J13" i="21"/>
  <c r="I31" i="21"/>
  <c r="I32" i="21"/>
  <c r="I33" i="21"/>
  <c r="I34" i="21"/>
  <c r="I35" i="21"/>
  <c r="H31" i="21"/>
  <c r="H32" i="21"/>
  <c r="H33" i="21"/>
  <c r="H34" i="21"/>
  <c r="H35" i="21"/>
  <c r="H30" i="21"/>
  <c r="G31" i="21"/>
  <c r="G32" i="21"/>
  <c r="G33" i="21"/>
  <c r="G34" i="21"/>
  <c r="G35" i="21"/>
  <c r="G30" i="21"/>
  <c r="F31" i="21"/>
  <c r="F32" i="21"/>
  <c r="F33" i="21"/>
  <c r="F34" i="21"/>
  <c r="F35" i="21"/>
  <c r="F30" i="21"/>
  <c r="E31" i="21"/>
  <c r="E32" i="21"/>
  <c r="E33" i="21"/>
  <c r="E34" i="21"/>
  <c r="E35" i="21"/>
  <c r="E30" i="21"/>
  <c r="D30" i="21"/>
  <c r="D31" i="21"/>
  <c r="D32" i="21"/>
  <c r="D33" i="21"/>
  <c r="D34" i="21"/>
  <c r="D35" i="21"/>
  <c r="C31" i="21"/>
  <c r="C32" i="21"/>
  <c r="C33" i="21"/>
  <c r="C34" i="21"/>
  <c r="C35" i="21"/>
  <c r="C30" i="21"/>
  <c r="B30" i="21"/>
  <c r="B31" i="21"/>
  <c r="B32" i="21"/>
  <c r="B33" i="21"/>
  <c r="B34" i="21"/>
  <c r="B35" i="21"/>
  <c r="K47" i="21" l="1"/>
  <c r="J11" i="11"/>
  <c r="C11" i="11"/>
  <c r="J32" i="10"/>
  <c r="C32" i="10"/>
  <c r="J58" i="21"/>
  <c r="K58" i="21"/>
  <c r="L58" i="21"/>
  <c r="J47" i="21"/>
  <c r="L47" i="21"/>
  <c r="D47" i="21"/>
  <c r="F47" i="21"/>
  <c r="J40" i="10"/>
  <c r="C40" i="10"/>
  <c r="C58" i="21"/>
  <c r="E47" i="21"/>
  <c r="I47" i="21"/>
  <c r="F58" i="21"/>
  <c r="H58" i="21"/>
  <c r="C47" i="21"/>
  <c r="G47" i="21"/>
  <c r="D58" i="21"/>
  <c r="H47" i="21"/>
  <c r="E58" i="21"/>
  <c r="G58" i="21"/>
  <c r="I58" i="21"/>
  <c r="C36" i="21"/>
  <c r="E36" i="21"/>
  <c r="G36" i="21"/>
  <c r="K36" i="21"/>
  <c r="D36" i="21"/>
  <c r="F36" i="21"/>
  <c r="H36" i="21"/>
  <c r="J36" i="21"/>
  <c r="L36" i="21"/>
  <c r="I36" i="21"/>
  <c r="B27" i="9"/>
  <c r="B6" i="9"/>
  <c r="J12" i="21"/>
  <c r="I9" i="21"/>
  <c r="I10" i="21"/>
  <c r="I11" i="21"/>
  <c r="I12" i="21"/>
  <c r="I13" i="21"/>
  <c r="I8" i="21"/>
  <c r="L9" i="21"/>
  <c r="L10" i="21"/>
  <c r="L11" i="21"/>
  <c r="L12" i="21"/>
  <c r="L13" i="21"/>
  <c r="L8" i="21"/>
  <c r="K9" i="21"/>
  <c r="K10" i="21"/>
  <c r="K11" i="21"/>
  <c r="K12" i="21"/>
  <c r="K13" i="21"/>
  <c r="K8" i="21"/>
  <c r="J9" i="21"/>
  <c r="J10" i="21"/>
  <c r="J11" i="21"/>
  <c r="J8" i="21"/>
  <c r="H9" i="21"/>
  <c r="H10" i="21"/>
  <c r="H11" i="21"/>
  <c r="H12" i="21"/>
  <c r="H13" i="21"/>
  <c r="H8" i="21"/>
  <c r="F9" i="21"/>
  <c r="F10" i="21"/>
  <c r="F11" i="21"/>
  <c r="F12" i="21"/>
  <c r="F13" i="21"/>
  <c r="F8" i="21"/>
  <c r="E9" i="21"/>
  <c r="E10" i="21"/>
  <c r="E11" i="21"/>
  <c r="E12" i="21"/>
  <c r="E13" i="21"/>
  <c r="E8" i="21"/>
  <c r="D9" i="21"/>
  <c r="D10" i="21"/>
  <c r="D11" i="21"/>
  <c r="D12" i="21"/>
  <c r="D13" i="21"/>
  <c r="D8" i="21"/>
  <c r="C9" i="21"/>
  <c r="C10" i="21"/>
  <c r="C11" i="21"/>
  <c r="C12" i="21"/>
  <c r="C13" i="21"/>
  <c r="C8" i="21"/>
  <c r="B39" i="16"/>
  <c r="B40" i="16"/>
  <c r="B41" i="16"/>
  <c r="B42" i="16"/>
  <c r="B43" i="16"/>
  <c r="B44" i="16"/>
  <c r="B45" i="16"/>
  <c r="B46" i="16"/>
  <c r="B38" i="16"/>
  <c r="B33" i="16"/>
  <c r="J59" i="21" l="1"/>
  <c r="J48" i="21"/>
  <c r="C48" i="21"/>
  <c r="C59" i="21"/>
  <c r="J37" i="21"/>
  <c r="C37" i="21"/>
  <c r="C14" i="21"/>
  <c r="L14" i="21"/>
  <c r="B47" i="16"/>
  <c r="E3" i="19"/>
  <c r="E2" i="19"/>
  <c r="F3" i="19" l="1"/>
  <c r="F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l="1"/>
  <c r="E4" i="19"/>
  <c r="E5"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l="1"/>
  <c r="D3" i="19"/>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l="1"/>
  <c r="B55" i="14"/>
  <c r="B35" i="14"/>
  <c r="B15" i="14"/>
  <c r="B10" i="13"/>
  <c r="B32" i="12"/>
  <c r="B10" i="12"/>
  <c r="B28" i="11"/>
  <c r="B10" i="11"/>
  <c r="B39" i="10"/>
  <c r="B31" i="10"/>
  <c r="B58" i="21"/>
  <c r="B47" i="21"/>
  <c r="J136" i="19"/>
  <c r="C136" i="19"/>
  <c r="B135" i="19"/>
  <c r="B36" i="21" l="1"/>
  <c r="B59" i="16"/>
  <c r="B10" i="21" l="1"/>
  <c r="B8" i="21"/>
  <c r="B9" i="21"/>
  <c r="B11" i="21"/>
  <c r="B12" i="21"/>
  <c r="B13" i="21"/>
  <c r="G13" i="21" l="1"/>
  <c r="G8" i="21"/>
  <c r="G12" i="21"/>
  <c r="G10" i="21"/>
  <c r="G11" i="21"/>
  <c r="G9" i="21"/>
  <c r="F14" i="21"/>
  <c r="H14" i="21"/>
  <c r="J14" i="21"/>
  <c r="D14" i="21"/>
  <c r="B25" i="21"/>
  <c r="E14" i="21"/>
  <c r="K14" i="21" l="1"/>
  <c r="J15" i="21" s="1"/>
  <c r="I14" i="21"/>
  <c r="G14" i="21"/>
  <c r="B14" i="21"/>
  <c r="C15" i="21" l="1"/>
  <c r="B55" i="16" l="1"/>
  <c r="B56" i="16"/>
  <c r="B57" i="16"/>
  <c r="B58" i="16"/>
  <c r="B32" i="16" l="1"/>
  <c r="B31" i="16"/>
  <c r="B30" i="16"/>
  <c r="B22" i="16"/>
  <c r="B13" i="16"/>
  <c r="B54" i="16"/>
  <c r="B29" i="16"/>
  <c r="B21" i="16"/>
  <c r="B12" i="16"/>
  <c r="B53" i="16"/>
  <c r="B28" i="16"/>
  <c r="B20" i="16"/>
  <c r="B11" i="16"/>
  <c r="B52" i="16"/>
  <c r="B19" i="16"/>
  <c r="B10" i="16"/>
  <c r="B51" i="16"/>
  <c r="B27" i="16"/>
  <c r="B18" i="16"/>
  <c r="B9" i="16"/>
  <c r="B4" i="16"/>
  <c r="B5" i="16" s="1"/>
  <c r="B23" i="10"/>
  <c r="B22" i="10"/>
  <c r="B21" i="10"/>
  <c r="B20" i="10"/>
  <c r="AG5" i="8"/>
  <c r="AG6" i="8"/>
  <c r="AG7" i="8"/>
  <c r="AG4" i="8"/>
  <c r="AM5" i="8"/>
  <c r="AM6" i="8"/>
  <c r="AM7" i="8"/>
  <c r="AM4" i="8"/>
  <c r="AK5" i="8"/>
  <c r="AK6" i="8"/>
  <c r="AK7" i="8"/>
  <c r="AL5" i="8"/>
  <c r="AL6" i="8"/>
  <c r="AL7" i="8"/>
  <c r="AL4" i="8"/>
  <c r="AK4" i="8"/>
  <c r="AJ5" i="8"/>
  <c r="AJ6" i="8"/>
  <c r="AJ7" i="8"/>
  <c r="AJ4" i="8"/>
  <c r="AI4" i="8"/>
  <c r="AI5" i="8"/>
  <c r="AI6" i="8"/>
  <c r="AI7" i="8"/>
  <c r="AH5" i="8"/>
  <c r="AH6" i="8"/>
  <c r="AH7" i="8"/>
  <c r="AH4" i="8"/>
  <c r="B14" i="16" l="1"/>
  <c r="B60" i="16"/>
  <c r="B34" i="16"/>
  <c r="B23" i="16"/>
  <c r="R5" i="8"/>
  <c r="R6" i="8"/>
  <c r="R7" i="8"/>
  <c r="R8" i="8"/>
  <c r="R9" i="8"/>
  <c r="R4" i="8"/>
  <c r="P4" i="8"/>
  <c r="P5" i="8"/>
  <c r="N5" i="8"/>
  <c r="N6" i="8"/>
  <c r="N7" i="8"/>
  <c r="N8" i="8"/>
  <c r="N9" i="8"/>
  <c r="N4" i="8"/>
  <c r="L5" i="8"/>
  <c r="L4" i="8"/>
  <c r="B4" i="8" l="1"/>
  <c r="D4" i="8"/>
  <c r="F4" i="8"/>
  <c r="H4" i="8"/>
  <c r="J4" i="8"/>
  <c r="B5" i="8"/>
  <c r="D5" i="8"/>
  <c r="F5" i="8"/>
  <c r="H5" i="8"/>
  <c r="J5" i="8"/>
  <c r="B6" i="8"/>
  <c r="D6" i="8"/>
  <c r="F6" i="8"/>
  <c r="H6" i="8"/>
  <c r="J6" i="8"/>
  <c r="B7" i="8"/>
  <c r="D7" i="8"/>
  <c r="F7" i="8"/>
  <c r="H7" i="8"/>
  <c r="J7" i="8"/>
  <c r="B8" i="8"/>
  <c r="D8" i="8"/>
  <c r="F8" i="8"/>
  <c r="H8" i="8"/>
  <c r="B9" i="8"/>
  <c r="H9" i="8"/>
  <c r="B10" i="8"/>
  <c r="H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alcChain>
</file>

<file path=xl/comments1.xml><?xml version="1.0" encoding="utf-8"?>
<comments xmlns="http://schemas.openxmlformats.org/spreadsheetml/2006/main">
  <authors>
    <author>Ball, Jillian</author>
  </authors>
  <commentList>
    <comment ref="B7" authorId="0" shapeId="0">
      <text>
        <r>
          <rPr>
            <b/>
            <sz val="9"/>
            <color indexed="81"/>
            <rFont val="Tahoma"/>
            <family val="2"/>
          </rPr>
          <t>Ball, Jillian:</t>
        </r>
        <r>
          <rPr>
            <sz val="9"/>
            <color indexed="81"/>
            <rFont val="Tahoma"/>
            <family val="2"/>
          </rPr>
          <t xml:space="preserve">
Only counted if Dx result in Diagnostic Services is blank</t>
        </r>
      </text>
    </comment>
  </commentList>
</comments>
</file>

<file path=xl/sharedStrings.xml><?xml version="1.0" encoding="utf-8"?>
<sst xmlns="http://schemas.openxmlformats.org/spreadsheetml/2006/main" count="4519" uniqueCount="3551">
  <si>
    <t>Female</t>
  </si>
  <si>
    <t>DEMOGRAPHICS OF INDIVIDUAL SERVED</t>
  </si>
  <si>
    <t>State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</si>
  <si>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</si>
  <si>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</si>
  <si>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</si>
  <si>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</si>
  <si>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</si>
  <si>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</si>
  <si>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</si>
  <si>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</si>
  <si>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</si>
  <si>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</si>
  <si>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</si>
  <si>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</si>
  <si>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</si>
  <si>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</si>
  <si>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</si>
  <si>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</si>
  <si>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</si>
  <si>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</si>
  <si>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</si>
  <si>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</si>
  <si>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</si>
  <si>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</si>
  <si>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</si>
  <si>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</si>
  <si>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</si>
  <si>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</si>
  <si>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</si>
  <si>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</si>
  <si>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</si>
  <si>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</si>
  <si>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</si>
  <si>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</si>
  <si>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</si>
  <si>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</si>
  <si>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</si>
  <si>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</si>
  <si>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</si>
  <si>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</si>
  <si>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</si>
  <si>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</si>
  <si>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</si>
  <si>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</si>
  <si>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</si>
  <si>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</si>
  <si>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</si>
  <si>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</si>
  <si>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</si>
  <si>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</si>
  <si>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</si>
  <si>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</si>
  <si>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EDUCATION</t>
  </si>
  <si>
    <t>TOPIC</t>
  </si>
  <si>
    <t xml:space="preserve">PATIENT NAVIGATION </t>
  </si>
  <si>
    <t>SCREENING</t>
  </si>
  <si>
    <t>DIAGNOSIS</t>
  </si>
  <si>
    <t>TREATMENT</t>
  </si>
  <si>
    <t>SCREENING RESULT</t>
  </si>
  <si>
    <t>NUMBER OF YEARS SINCE LAST SCREENING</t>
  </si>
  <si>
    <t>FIRST TIME TO THIS FACILITY</t>
  </si>
  <si>
    <t>Yes</t>
  </si>
  <si>
    <t>White</t>
  </si>
  <si>
    <t>Abnormal</t>
  </si>
  <si>
    <t>REFERRED TO DIAGNOSTICS</t>
  </si>
  <si>
    <t>DIAGNOSED WITH BREAST CANCER</t>
  </si>
  <si>
    <t>Mammogram</t>
  </si>
  <si>
    <t>REFERRED TO TREATMENT</t>
  </si>
  <si>
    <t>TIME FROM SCREENING TO DIAGNOSIS</t>
  </si>
  <si>
    <t>31-60 days</t>
  </si>
  <si>
    <t>TIME FROM DIAGNOSIS TO BEGINNING OF TREATMENT</t>
  </si>
  <si>
    <t>61-90 days</t>
  </si>
  <si>
    <t>Surgery</t>
  </si>
  <si>
    <t>Chemotherapy</t>
  </si>
  <si>
    <t xml:space="preserve">CLINICAL SERVICES RECEIVED </t>
  </si>
  <si>
    <t>NAVIGATION TO SCREENING</t>
  </si>
  <si>
    <t>TIME FROM REFERRAL TO SCREENING</t>
  </si>
  <si>
    <t>TIME FROM ABNORMAL SCREENINGS TO DIAGNOSTIC RESOLUTION</t>
  </si>
  <si>
    <t>NAVIGATION FROM ABNORMAL SCREENING TO DIAGNOSTIC RESOLUTION</t>
  </si>
  <si>
    <t>NAVIGATION FROM DIAGNOSTIC RESOLUTION TO BEGINNING OF TREATMENT</t>
  </si>
  <si>
    <t>TIME FROM DIAGNSOTIC RESOLUTION TO BEGINNING TREATMENT</t>
  </si>
  <si>
    <t>SURVIVORSHIP CARE PLAN PROVIDED</t>
  </si>
  <si>
    <t>No</t>
  </si>
  <si>
    <t>BREAST CANCER RECORDS PROVIDED TO PRIMARY CARE PROVIDER</t>
  </si>
  <si>
    <t>ASSISTANCE PROVIDED TO REMOVE BARRIERS</t>
  </si>
  <si>
    <t>Transportation</t>
  </si>
  <si>
    <t>FOLLOW-UP COMPLETED</t>
  </si>
  <si>
    <t>ACTION TAKEN BY INDIVIDUAL</t>
  </si>
  <si>
    <t>AGE</t>
  </si>
  <si>
    <t>GENDER</t>
  </si>
  <si>
    <t>STATE OF RESIDENCE</t>
  </si>
  <si>
    <t>DID THE INDIVIDUAL TAKE ACTION</t>
  </si>
  <si>
    <t>QUALITY OF LIFE INTERVENTIONS</t>
  </si>
  <si>
    <t>OTHER PATIENT SUPPORT</t>
  </si>
  <si>
    <t>INDIVIDUAL COMPLETED PHYSICIAN RECOMMENDED TREATMENT</t>
  </si>
  <si>
    <t>CARE COORDINATION &amp; CASE MANAGEMENT</t>
  </si>
  <si>
    <t>COMMUNITY HEALTH WORKER AND HEALTH CARE PROVIDER TRAININGS</t>
  </si>
  <si>
    <t>0-30 days</t>
  </si>
  <si>
    <t>Yes Stage II</t>
  </si>
  <si>
    <t>Radiation therapy</t>
  </si>
  <si>
    <t>Symptom management (e.g. anti-nausea meds or lymphedema therapy)</t>
  </si>
  <si>
    <t>Psychosocial support - Group</t>
  </si>
  <si>
    <t>Psychosocial support - Individual</t>
  </si>
  <si>
    <t>Daily living expenses</t>
  </si>
  <si>
    <t>Interpretation/translation services</t>
  </si>
  <si>
    <t>TYPE OF TRAINING</t>
  </si>
  <si>
    <t>Durable medical equipment (e.g. prostheses or lymphedema sleeves)</t>
  </si>
  <si>
    <t>Male</t>
  </si>
  <si>
    <t>0-18</t>
  </si>
  <si>
    <t>40-49</t>
  </si>
  <si>
    <t>Transgender</t>
  </si>
  <si>
    <t>Hispanic/Latino</t>
  </si>
  <si>
    <t>One-on-one session</t>
  </si>
  <si>
    <t>Group session</t>
  </si>
  <si>
    <t>Breast self-awareness</t>
  </si>
  <si>
    <t>Available breast health services and resources</t>
  </si>
  <si>
    <t>Treatment</t>
  </si>
  <si>
    <t>Clinical breast exam</t>
  </si>
  <si>
    <t>Diagnostic mammogram</t>
  </si>
  <si>
    <t>Free or low-cost clinical services</t>
  </si>
  <si>
    <t>Normal</t>
  </si>
  <si>
    <t>Unknown</t>
  </si>
  <si>
    <t>19-39</t>
  </si>
  <si>
    <t>65+</t>
  </si>
  <si>
    <t xml:space="preserve">Other </t>
  </si>
  <si>
    <t>Black/African-American</t>
  </si>
  <si>
    <t>Asian</t>
  </si>
  <si>
    <t>American Indian or Alaska Native</t>
  </si>
  <si>
    <t>Native Hawaiian or Pacific Islander</t>
  </si>
  <si>
    <t>Clinical trials</t>
  </si>
  <si>
    <t>Survivorship and quality of life</t>
  </si>
  <si>
    <t>Other</t>
  </si>
  <si>
    <t>One-on-one training</t>
  </si>
  <si>
    <t>Group training</t>
  </si>
  <si>
    <t>More than 5 years</t>
  </si>
  <si>
    <t>Never been screened</t>
  </si>
  <si>
    <t xml:space="preserve">SCREENING SERVICE </t>
  </si>
  <si>
    <t>Genetic testing/counseling</t>
  </si>
  <si>
    <t>More than 90 days</t>
  </si>
  <si>
    <t>Breast ultrasound</t>
  </si>
  <si>
    <t>Breast MRI</t>
  </si>
  <si>
    <t>Biopsy</t>
  </si>
  <si>
    <t>Genomic testing to guide treatment</t>
  </si>
  <si>
    <t xml:space="preserve">TREATMENT SERVICE </t>
  </si>
  <si>
    <t>Hormone therapy</t>
  </si>
  <si>
    <t>Targeted Therapy</t>
  </si>
  <si>
    <t>Complementary &amp; Integrative therapies</t>
  </si>
  <si>
    <t>Palliative care</t>
  </si>
  <si>
    <t>ASSISTANCE PROVIDED Count</t>
  </si>
  <si>
    <t xml:space="preserve">ASSISTANCE PROVIDED </t>
  </si>
  <si>
    <t>Co-pay/deductible assistance</t>
  </si>
  <si>
    <t>Care Coordination</t>
  </si>
  <si>
    <t>Case management</t>
  </si>
  <si>
    <t xml:space="preserve">OTHER PATIENT SUPPORT </t>
  </si>
  <si>
    <t>DID THE INDIVIDUAL TAKE ACTION      Count</t>
  </si>
  <si>
    <t>FOLLOW-UP COMPLETED            Count</t>
  </si>
  <si>
    <t>TOPIC                           Count</t>
  </si>
  <si>
    <t>SPECIAL POPULATIONS                  Count</t>
  </si>
  <si>
    <t>GENDER                     Count</t>
  </si>
  <si>
    <t>AGE                               Count</t>
  </si>
  <si>
    <t>NUMBER OF INDIVIDUALS IN SESSION BY TYPE AND TOPIC</t>
  </si>
  <si>
    <t>TYPE OF TRAINING                 Count</t>
  </si>
  <si>
    <t>TOTAL NUMBER OF PROVIDERS TRAINED</t>
  </si>
  <si>
    <t>FIRST TIME TO THIS FACILITY Count</t>
  </si>
  <si>
    <t>NUMBER OF YEARS SINCE LAST SCREENING           Count</t>
  </si>
  <si>
    <t xml:space="preserve">SCREENING SERVICE Count </t>
  </si>
  <si>
    <t xml:space="preserve">SCREENING RESULT </t>
  </si>
  <si>
    <t>SCREENING RESULT Count</t>
  </si>
  <si>
    <t>REFERRED TO DIAGNOSTICS         Count</t>
  </si>
  <si>
    <t>TIME FROM SCREENING TO DIAGNOSIS           Count</t>
  </si>
  <si>
    <t xml:space="preserve">DIAGNOSTIC SERVICE </t>
  </si>
  <si>
    <t>DIAGNOSTIC SERVICE Count</t>
  </si>
  <si>
    <t>Yes Stage 0</t>
  </si>
  <si>
    <t>Yes Stage I</t>
  </si>
  <si>
    <t>Yes Stage III</t>
  </si>
  <si>
    <t>Yes Stage IV</t>
  </si>
  <si>
    <t>DIAGNOSED WITH BREAST CANCER Count</t>
  </si>
  <si>
    <t>REFERRED TO TREATMENT Count</t>
  </si>
  <si>
    <t>TIME FROM DIAGNOSIS TO BEGINNING OF TREATMENT Count</t>
  </si>
  <si>
    <t>TREATMENT SERVICE           Count</t>
  </si>
  <si>
    <t>TREATMENT SUPPORT SERVICE</t>
  </si>
  <si>
    <t>TREATMENT SUPPORT SERVICE                            Count</t>
  </si>
  <si>
    <t>TIME FROM REFERRAL TO SCREENING                               Count</t>
  </si>
  <si>
    <t>SCREENING RESULT        Count</t>
  </si>
  <si>
    <t>DIAGNOSTIC RESULT          Count</t>
  </si>
  <si>
    <t>INDIVIDUAL COMPLETED PHYSICIAN RECOMMENDED TREATMENT                    Count</t>
  </si>
  <si>
    <t>SURVIVORSHIP CARE PLAN PROVIDED         Count</t>
  </si>
  <si>
    <t>BREAST CANCER RECORDS PROVIDED TO PRIMARY CARE PROVIDER            Count</t>
  </si>
  <si>
    <t>OTHER PATIENT SUPPORT            Count</t>
  </si>
  <si>
    <t>TREATMENT QUALITY OF LIFE INTERVENTIONS</t>
  </si>
  <si>
    <t>Unspecified</t>
  </si>
  <si>
    <t>50-64</t>
  </si>
  <si>
    <t>Received a breast cancer screening</t>
  </si>
  <si>
    <t>Shared information with family/friends</t>
  </si>
  <si>
    <t>Less than 2 years</t>
  </si>
  <si>
    <t>2-5 years</t>
  </si>
  <si>
    <t>ACTION TAKEN BY INDIVIDUAL Count</t>
  </si>
  <si>
    <t>SPECIAL POPULATIONS 1</t>
  </si>
  <si>
    <t>SPECIAL POPULATIONS 2</t>
  </si>
  <si>
    <t xml:space="preserve">SPECIAL POPULATIONS </t>
  </si>
  <si>
    <t>TIME FROM DIAGNSOTIC RESOLUTION TO BEGINNING TREATMENT                                    Count</t>
  </si>
  <si>
    <t>Talked to health care provider</t>
  </si>
  <si>
    <t>Received genetic counseling/testing</t>
  </si>
  <si>
    <t>Facility not accredited</t>
  </si>
  <si>
    <t>BICOE only</t>
  </si>
  <si>
    <t>BICOE &amp; NAPBC</t>
  </si>
  <si>
    <t>NAPBC only</t>
  </si>
  <si>
    <t>BICOE &amp; NCI</t>
  </si>
  <si>
    <t>BICOE &amp; CoC</t>
  </si>
  <si>
    <t>BICOE &amp; CoC &amp; NCI</t>
  </si>
  <si>
    <t>CoC only</t>
  </si>
  <si>
    <t>CoC &amp; NCI</t>
  </si>
  <si>
    <t>NCI only</t>
  </si>
  <si>
    <t>TIME FROM ABNORMAL SCREENING TO DIAGNOSTIC RESOLUTION</t>
  </si>
  <si>
    <t>TIME FROM ABNORMAL SCREENINGS TO DIAGNOSTIC RESOLUTION                                 Count</t>
  </si>
  <si>
    <t>ACCREDITATION OF DIAGNOSTIC FACILITY NAVIGATED TO</t>
  </si>
  <si>
    <t>ACCREDITATION OF SCREENING FACILITY NAVIGATED TO</t>
  </si>
  <si>
    <t>ACCREDITATION OF SCREENING FACILITY NAVIGATED TO                        Count</t>
  </si>
  <si>
    <t>ACCREDITATION OF DIAGNOSTIC FACILITY NAVIGATED TO               Count</t>
  </si>
  <si>
    <t>ACCREDITATION OF TREATMENT FACILITY NAVIGATED TO</t>
  </si>
  <si>
    <t>ACCREDITATION OF TREATMENT FACILITY NAVIGATED TO               Count</t>
  </si>
  <si>
    <t>SCREENING FACILITY ACCREDITATION</t>
  </si>
  <si>
    <t>DIAGNOSTIC FACILITY ACCREDITATION</t>
  </si>
  <si>
    <t>TREATMENT FACILITY ACCREDITATION</t>
  </si>
  <si>
    <t>TREATMENT FACILITY ACCREDITATION                   Count</t>
  </si>
  <si>
    <t>DIAGNOSTIC FACILITY ACCREDITATION         Count</t>
  </si>
  <si>
    <t>STATE OF RESIDENCE    Count</t>
  </si>
  <si>
    <t xml:space="preserve">RACE/ETHNICITY </t>
  </si>
  <si>
    <t>RACE/ETHNICITY                            Count</t>
  </si>
  <si>
    <t>Individual who identifes as LGBTQ</t>
  </si>
  <si>
    <t>Individual residing in rural area</t>
  </si>
  <si>
    <t>Individual living with metastatic disease</t>
  </si>
  <si>
    <t>Immigrant/Newcomer/ Refugee/Migrant</t>
  </si>
  <si>
    <t>TYPE OF SESSION</t>
  </si>
  <si>
    <t>TYPE OF SESSION                             Count</t>
  </si>
  <si>
    <t>Yes Stage Unknown</t>
  </si>
  <si>
    <t>Childcare</t>
  </si>
  <si>
    <t>SCREENING FACILITY ACCREDITATION            Total Count</t>
  </si>
  <si>
    <t>SCREENING FACILITY ACCREDITATION            African-American Count</t>
  </si>
  <si>
    <t>SCREENING FACILITY ACCREDITATION            Hispanic/Latino    Count</t>
  </si>
  <si>
    <t>SCREENING FACILITY ACCREDITATION            White                               Count</t>
  </si>
  <si>
    <t>SCREENING FACILITY ACCREDITATION            American Indian or Alaska Native Count</t>
  </si>
  <si>
    <t>SCREENING FACILITY ACCREDITATION            Asian                         Count</t>
  </si>
  <si>
    <t>SCREENING FACILITY ACCREDITATION            Native Hawaiian or Pacific Islander    Count</t>
  </si>
  <si>
    <t>CLINICAL SERVICES RECEIVED</t>
  </si>
  <si>
    <t>Black/African-American Count</t>
  </si>
  <si>
    <t>Hispanic/Latino Count</t>
  </si>
  <si>
    <t>White Count</t>
  </si>
  <si>
    <t>REFERRED TO DIAGNOSTICS Count</t>
  </si>
  <si>
    <t>American Indian or Alaska Native Count</t>
  </si>
  <si>
    <t>Asian Count</t>
  </si>
  <si>
    <t>Native Hawaiian or Pacific Islander Count</t>
  </si>
  <si>
    <t>TOTAL ASSISTANCE PROVIDED Count</t>
  </si>
  <si>
    <t>OVERALL TOTALS</t>
  </si>
  <si>
    <t>MEASURES</t>
  </si>
  <si>
    <t>Hispanic/ Latino Count</t>
  </si>
  <si>
    <t>EDUCATION TOPIC</t>
  </si>
  <si>
    <t>NUMBER OF INDIVIDUALS EDUCATED ON EACH TOPIC</t>
  </si>
  <si>
    <t>TOPIC OF SESSION</t>
  </si>
  <si>
    <t>Amish/Mennonite</t>
  </si>
  <si>
    <t>Breast cancer survivors</t>
  </si>
  <si>
    <t xml:space="preserve">NUMBER OF EACH TYPE OF SESSION                             </t>
  </si>
  <si>
    <t xml:space="preserve">NUMBER OF EACH TOPIC OF SESSION                            </t>
  </si>
  <si>
    <t>NUMBER OF EACH ACTION TAKEN BY INDIVIDUALS</t>
  </si>
  <si>
    <t>TOTAL NUMBER OF PROVIDERS TRAINED IN EACH SESSION TYPE</t>
  </si>
  <si>
    <t>Total Services</t>
  </si>
  <si>
    <t>Total services</t>
  </si>
  <si>
    <t>Total results</t>
  </si>
  <si>
    <t>Total</t>
  </si>
  <si>
    <t>Total sessions</t>
  </si>
  <si>
    <t>Total individuals</t>
  </si>
  <si>
    <t>NUMBER OF INDIVIDUALS EDUCATED IN SESSION</t>
  </si>
  <si>
    <t xml:space="preserve">COUNTY OF RESIDENCE </t>
  </si>
  <si>
    <t>WHITE</t>
  </si>
  <si>
    <t>AMERICAN INDIAN OR ALASKA NATIVE</t>
  </si>
  <si>
    <t>ASIAN</t>
  </si>
  <si>
    <t>TOTAL NUMBER OF PEOPLE DIAGNOSED WITH BREAST CANCER</t>
  </si>
  <si>
    <t>STAGE II</t>
  </si>
  <si>
    <t>STAGE III</t>
  </si>
  <si>
    <t>STAGE IV</t>
  </si>
  <si>
    <t>STAGE UNKNOWN</t>
  </si>
  <si>
    <t xml:space="preserve">STAGE I </t>
  </si>
  <si>
    <t>ACCREDITATION OF DIAGNOSTIC FACILITY NAVIGATED TO                            Count</t>
  </si>
  <si>
    <t>NUMBER OF TREATMENT SUPPORT SERVICES</t>
  </si>
  <si>
    <t>NUMBER OF INDIVIDUALS NAVIGATED INTO DIAGNOSIS</t>
  </si>
  <si>
    <t>NUMBER OF INDIVIDUALS NAVIGATED INTO SCREENING</t>
  </si>
  <si>
    <t>NUMBER OF INDIVIDUALS NAVIGATED INTO TREATMENT</t>
  </si>
  <si>
    <t xml:space="preserve">Metastatic breast cancer </t>
  </si>
  <si>
    <t xml:space="preserve">TYPE OF TRAINING SESSION </t>
  </si>
  <si>
    <t>COMMUNITY NAVIGATION TO SCREENING</t>
  </si>
  <si>
    <t>PATIENT NAVIGATION FROM DIAGNOSTIC RESOLUTION THROUGH TREATMENT</t>
  </si>
  <si>
    <t>Talked to provider about clinical trials</t>
  </si>
  <si>
    <t>Enrolled in clinical trial</t>
  </si>
  <si>
    <t>NUMBER OF COMMUNITY HEALTH WORKERS</t>
  </si>
  <si>
    <t xml:space="preserve">NUMBER OF LAY EDUCATORS </t>
  </si>
  <si>
    <t>NUMBER OF PATIENT NAVIGATORS</t>
  </si>
  <si>
    <t>NUMBER OF SOCIAL WORKERS</t>
  </si>
  <si>
    <t>NUMBER OF NURSES</t>
  </si>
  <si>
    <t>NUMBER OF TECHNICIANS</t>
  </si>
  <si>
    <t>NUMBER OF DOCTORS</t>
  </si>
  <si>
    <t>NUMBER OF NURSE PRACTIONERS OR PHYSICIAN'S ASSITANTS</t>
  </si>
  <si>
    <t>Healthcare providers</t>
  </si>
  <si>
    <t>Homeless/Residing in temporary housing</t>
  </si>
  <si>
    <t>Immigrants/Newcomers/Refugees/Migrants</t>
  </si>
  <si>
    <t>Living w/ metastatic breast cancer</t>
  </si>
  <si>
    <t>Individuals w/ disabilities</t>
  </si>
  <si>
    <t>Identifies as LGBTQ</t>
  </si>
  <si>
    <t>ACCREDITATION OF TREATMENT FACILITY NAVIGATED TO                         Count</t>
  </si>
  <si>
    <t>HISPANIC/ LATINO</t>
  </si>
  <si>
    <t>ETHNICITY</t>
  </si>
  <si>
    <t>RACE</t>
  </si>
  <si>
    <t xml:space="preserve">RACE </t>
  </si>
  <si>
    <t>ETHNICITY Count</t>
  </si>
  <si>
    <t>RACE                           Count</t>
  </si>
  <si>
    <t>NATIVE HAWAIIAN OR PACIFIC ISLANDER</t>
  </si>
  <si>
    <t>NON-HISPANIC/ LATINO</t>
  </si>
  <si>
    <t>SURVIVORSHIP CARE PLAN PROVIDED                                 Count</t>
  </si>
  <si>
    <t>BREAST CANCER RECORDS PROVIDED TO PRIMARY CARE PROVIDER                                   Count</t>
  </si>
  <si>
    <t>ACCREDITATION OF SCREENING FACILITY NAVIGATED TO                         Count</t>
  </si>
  <si>
    <t>INDIVIDUAL COMPLETED PHYSICIAN RECOMMENDED TREATMENT                                      Count</t>
  </si>
  <si>
    <t>NUMBER OF FOLLOW-UPS COMPLETED</t>
  </si>
  <si>
    <t>Total diagnosed</t>
  </si>
  <si>
    <t>TOTALS</t>
  </si>
  <si>
    <t>Non-Hispanic/Latino Count</t>
  </si>
  <si>
    <t>Non-Hispanic/ Latino Count</t>
  </si>
  <si>
    <t>RACE TOTALS</t>
  </si>
  <si>
    <t>ETHNICITY TOTALS</t>
  </si>
  <si>
    <t>TOTAL</t>
  </si>
  <si>
    <t>Rural residents</t>
  </si>
  <si>
    <t xml:space="preserve">INDIVIDUAL ID                </t>
  </si>
  <si>
    <t>TREATMENT SUPPORT</t>
  </si>
  <si>
    <t xml:space="preserve">STATE OF RESIDENCE              </t>
  </si>
  <si>
    <t xml:space="preserve">DEMOGRAPHICS OF INDIVIDUAL SERVED </t>
  </si>
  <si>
    <t>PATIENT ENROLLED IN CLINICAL TRIAL</t>
  </si>
  <si>
    <t>PATIENT ENROLLED IN CLINICAL TRIAL                      Count</t>
  </si>
  <si>
    <t>PATIENT ENROLLED IN CLINICAL TRIAL                                                 Count</t>
  </si>
  <si>
    <t>COUNTY</t>
  </si>
  <si>
    <t xml:space="preserve">COUNTY </t>
  </si>
  <si>
    <t xml:space="preserve">TOTAL NUMBER OF PEOPLE SERVED </t>
  </si>
  <si>
    <r>
      <t xml:space="preserve">NUMBER OF PEOPLE EDUCATED </t>
    </r>
    <r>
      <rPr>
        <b/>
        <sz val="11"/>
        <color theme="1"/>
        <rFont val="Arial"/>
        <family val="2"/>
      </rPr>
      <t xml:space="preserve"> </t>
    </r>
  </si>
  <si>
    <t xml:space="preserve">NUMBER OF SCREENING SERVICES </t>
  </si>
  <si>
    <t>NUMBER OF DIAGNOSTIC SERVICES</t>
  </si>
  <si>
    <t xml:space="preserve">NUMBER OF TREATMENT SERVICES </t>
  </si>
  <si>
    <t xml:space="preserve">NUMBER OF BARRIER REDUCTION SERVICES </t>
  </si>
  <si>
    <t>STAGE 0</t>
  </si>
  <si>
    <t xml:space="preserve">STATE OF RESIDENCE  </t>
  </si>
  <si>
    <t>DIAGNOSTIC RESOLUTION AND BREAST CANCER DIAGNOSIS AS A RESULT OF KOMEN FUNDING</t>
  </si>
  <si>
    <t>DIAGNOSIS AND STAGING</t>
  </si>
  <si>
    <t>TYPE OF TRAINING SESSION</t>
  </si>
  <si>
    <t>COMMUNITY HEALTH WORKER / HEALTH CARE PROVIDER TRAININGS</t>
  </si>
  <si>
    <t>Durable medical equipment (e.g. lymphedema sleeves)</t>
  </si>
  <si>
    <t>ASSISTANCE PROVIDED</t>
  </si>
  <si>
    <r>
      <t xml:space="preserve"> </t>
    </r>
    <r>
      <rPr>
        <b/>
        <sz val="11"/>
        <color theme="1"/>
        <rFont val="Arial"/>
        <family val="2"/>
      </rPr>
      <t>Transportation</t>
    </r>
  </si>
  <si>
    <t xml:space="preserve"> 0-30 days</t>
  </si>
  <si>
    <r>
      <t xml:space="preserve"> </t>
    </r>
    <r>
      <rPr>
        <b/>
        <sz val="11"/>
        <color theme="1"/>
        <rFont val="Arial"/>
        <family val="2"/>
      </rPr>
      <t>0-30 days</t>
    </r>
  </si>
  <si>
    <t>PATIENT NAVIGATION FROM ABNORMAL SCREENING THROUGH DIAGNOSTIC RESOLUTION</t>
  </si>
  <si>
    <t xml:space="preserve"> PATIENT NAVIGATION                                                                                                                                                                                                                                                                                                                                                                                                        CARE COORDINATION / CASE MANAGEMENT</t>
  </si>
  <si>
    <t>CARE COORDINATION / CASE MANAGEMENT SUPPORT</t>
  </si>
  <si>
    <t>Did not take action</t>
  </si>
  <si>
    <t>STAGE OF BREAST CANCER DIAGNOSIS           Count                  (Unduplicated)</t>
  </si>
  <si>
    <t>STAGE OF BREAST CANCER DIAGNOSIS           Count                     (Unduplicated)</t>
  </si>
  <si>
    <t>BIOPSY-ONLY SERVICES THAT  DIAGNOSED BREAST CANCER</t>
  </si>
  <si>
    <t>STAGE OF BREAST CANCER DIAGNOSIS                   Count                                   (Duplicated)</t>
  </si>
  <si>
    <t>STAGE OF BREAST CANCER DIAGNOSIS  Count                           (Duplicated)</t>
  </si>
  <si>
    <t>Not of Hispanic/Latino/Spanish origin</t>
  </si>
  <si>
    <t>Mexican/Mexican-American/Chicano</t>
  </si>
  <si>
    <t>Puerto Rican</t>
  </si>
  <si>
    <t>Cuban</t>
  </si>
  <si>
    <t>Dominican</t>
  </si>
  <si>
    <t>Salvadoran</t>
  </si>
  <si>
    <t>Other Hispanic/Latino/Spanish origin</t>
  </si>
  <si>
    <t>Middle Eastern or North African</t>
  </si>
  <si>
    <t>Middle Eastern or North African Count</t>
  </si>
  <si>
    <t>MIDDLE EASTERN OR NORTH AFRICAN</t>
  </si>
  <si>
    <t>Colombian</t>
  </si>
  <si>
    <t>BLACK/AFRICAN-AMERICAN</t>
  </si>
  <si>
    <t xml:space="preserve">NUMBER OF TRAINING SESSIONS BY TYPE              </t>
  </si>
  <si>
    <t>STATE OF RESIDENCE                                                           Count</t>
  </si>
  <si>
    <t>NAVIGATION LED TO BREAST CANCER DIAGNOSIS</t>
  </si>
  <si>
    <t xml:space="preserve">COMMUNITY NAVIGATION INTO SCREENING LED TO BREAST CANCER DIAGNOSIS    </t>
  </si>
  <si>
    <t>PATIENT NAVIGATION INTO DIAGNOSTICS LED TO BREAST CANCER DIAGNOSIS</t>
  </si>
  <si>
    <t>NON-BIOPSY DIAGNOSTIC SERVICES THAT  LED TO DIAGNOSIS</t>
  </si>
  <si>
    <t xml:space="preserve">SCREENING SERVICE LED TO DIAGNOSIS                 </t>
  </si>
  <si>
    <t>TIME FROM DIAGNOSTIC RESOLUTION TO BEGINNING TREATMENT</t>
  </si>
  <si>
    <t>TIME FROM DIAGNOSTIC RESOLUTION TO BEGINNING TREATMENT                                    Count</t>
  </si>
  <si>
    <t>UNKNOWN/ OTHER</t>
  </si>
  <si>
    <t>Unknown or Other</t>
  </si>
  <si>
    <t>Unknown/Other</t>
  </si>
  <si>
    <t>Unknown/ Other</t>
  </si>
  <si>
    <t>Autauga County, AL</t>
  </si>
  <si>
    <t>Baldwin County, AL</t>
  </si>
  <si>
    <t>Barbour County, AL</t>
  </si>
  <si>
    <t>Bibb County, AL</t>
  </si>
  <si>
    <t>Blount County, AL</t>
  </si>
  <si>
    <t>Bullock County, AL</t>
  </si>
  <si>
    <t>Butler County, AL</t>
  </si>
  <si>
    <t>Calhoun County, AL</t>
  </si>
  <si>
    <t>Chambers County, AL</t>
  </si>
  <si>
    <t>Cherokee County, AL</t>
  </si>
  <si>
    <t>Chilton County, AL</t>
  </si>
  <si>
    <t>Choctaw County, AL</t>
  </si>
  <si>
    <t>Clarke County, AL</t>
  </si>
  <si>
    <t>Clay County, AL</t>
  </si>
  <si>
    <t>Cleburne County, AL</t>
  </si>
  <si>
    <t>Coffee County, AL</t>
  </si>
  <si>
    <t>Colbert County, AL</t>
  </si>
  <si>
    <t>Conecuh County, AL</t>
  </si>
  <si>
    <t>Coosa County, AL</t>
  </si>
  <si>
    <t>Covington County, AL</t>
  </si>
  <si>
    <t>Crenshaw County, AL</t>
  </si>
  <si>
    <t>Cullman County, AL</t>
  </si>
  <si>
    <t>Dale County, AL</t>
  </si>
  <si>
    <t>Dallas County, AL</t>
  </si>
  <si>
    <t>DeKalb County, AL</t>
  </si>
  <si>
    <t>Elmore County, AL</t>
  </si>
  <si>
    <t>Escambia County, AL</t>
  </si>
  <si>
    <t>Etowah County, AL</t>
  </si>
  <si>
    <t>Fayette County, AL</t>
  </si>
  <si>
    <t>Franklin County, AL</t>
  </si>
  <si>
    <t>Geneva County, AL</t>
  </si>
  <si>
    <t>Greene County, AL</t>
  </si>
  <si>
    <t>Hale County, AL</t>
  </si>
  <si>
    <t>Henry County, AL</t>
  </si>
  <si>
    <t>Houston County, AL</t>
  </si>
  <si>
    <t>Jackson County, AL</t>
  </si>
  <si>
    <t>Jefferson County, AL</t>
  </si>
  <si>
    <t>Lamar County, AL</t>
  </si>
  <si>
    <t>Lauderdale County, AL</t>
  </si>
  <si>
    <t>Lawrence County, AL</t>
  </si>
  <si>
    <t>Lee County, AL</t>
  </si>
  <si>
    <t>Limestone County, AL</t>
  </si>
  <si>
    <t>Lowndes County, AL</t>
  </si>
  <si>
    <t>Macon County, AL</t>
  </si>
  <si>
    <t>Madison County, AL</t>
  </si>
  <si>
    <t>Marengo County, AL</t>
  </si>
  <si>
    <t>Marion County, AL</t>
  </si>
  <si>
    <t>Marshall County, AL</t>
  </si>
  <si>
    <t>Mobile County, AL</t>
  </si>
  <si>
    <t>Monroe County, AL</t>
  </si>
  <si>
    <t>Montgomery County, AL</t>
  </si>
  <si>
    <t>Morgan County, AL</t>
  </si>
  <si>
    <t>Perry County, AL</t>
  </si>
  <si>
    <t>Pickens County, AL</t>
  </si>
  <si>
    <t>Pike County, AL</t>
  </si>
  <si>
    <t>Randolph County, AL</t>
  </si>
  <si>
    <t>Russell County, AL</t>
  </si>
  <si>
    <t>St. Clair County, AL</t>
  </si>
  <si>
    <t>Shelby County, AL</t>
  </si>
  <si>
    <t>Sumter County, AL</t>
  </si>
  <si>
    <t>Talladega County, AL</t>
  </si>
  <si>
    <t>Tallapoosa County, AL</t>
  </si>
  <si>
    <t>Tuscaloosa County, AL</t>
  </si>
  <si>
    <t>Walker County, AL</t>
  </si>
  <si>
    <t>Washington County, AL</t>
  </si>
  <si>
    <t>Wilcox County, AL</t>
  </si>
  <si>
    <t>Winston County, AL</t>
  </si>
  <si>
    <t>Aleutians East Borough, AK</t>
  </si>
  <si>
    <t>Municipality of Anchorage, AK</t>
  </si>
  <si>
    <t>Bristol Bay Borough, AK</t>
  </si>
  <si>
    <t>Denali Borough, AK</t>
  </si>
  <si>
    <t>Fairbanks North Star Borough, AK</t>
  </si>
  <si>
    <t>Haines Borough, AK</t>
  </si>
  <si>
    <t>Juneau Borough, AK</t>
  </si>
  <si>
    <t>Kenai Peninsula Borough, AK</t>
  </si>
  <si>
    <t>Ketchikan Gateway Borough, AK</t>
  </si>
  <si>
    <t>Kodiak Island Borough, AK</t>
  </si>
  <si>
    <t>Lake and Peninsula Borough, AK</t>
  </si>
  <si>
    <t>Matanuska-Sustina Borough, AK</t>
  </si>
  <si>
    <t>Petersburg Borough, AK</t>
  </si>
  <si>
    <t>North Slope Borough, AK</t>
  </si>
  <si>
    <t>Northwest Arctic Borough, AK</t>
  </si>
  <si>
    <t>Sitka Borough, AK</t>
  </si>
  <si>
    <t>Skagway-Yakutat-Angoon Burough, AK</t>
  </si>
  <si>
    <t>Yakutat Borough, AK</t>
  </si>
  <si>
    <t>Apache County, AZ</t>
  </si>
  <si>
    <t>Cochise County, AZ</t>
  </si>
  <si>
    <t>Coconino County, AZ</t>
  </si>
  <si>
    <t>Gila County, AZ</t>
  </si>
  <si>
    <t>Graham County, AZ</t>
  </si>
  <si>
    <t>Greenlee County, AZ</t>
  </si>
  <si>
    <t>La Paz County, AZ</t>
  </si>
  <si>
    <t>Maricopa County, AZ</t>
  </si>
  <si>
    <t>Mohave County, AZ</t>
  </si>
  <si>
    <t>Navajo County, AZ</t>
  </si>
  <si>
    <t>Pima County, AZ</t>
  </si>
  <si>
    <t>Pinal County, AZ</t>
  </si>
  <si>
    <t>Santa Cruz County, AZ</t>
  </si>
  <si>
    <t>Yavapai County, AZ</t>
  </si>
  <si>
    <t>Yuma County, AZ</t>
  </si>
  <si>
    <t>Arkansas County, AR</t>
  </si>
  <si>
    <t>Ashley County, AR</t>
  </si>
  <si>
    <t>Baxter County, AR</t>
  </si>
  <si>
    <t>Benton County, AR</t>
  </si>
  <si>
    <t>Boone County, AR</t>
  </si>
  <si>
    <t>Bradley County, AR</t>
  </si>
  <si>
    <t>Calhoun County, AR</t>
  </si>
  <si>
    <t>Carroll County, AR</t>
  </si>
  <si>
    <t>Chicot County, AR</t>
  </si>
  <si>
    <t>Clark County, AR</t>
  </si>
  <si>
    <t>Clay County, AR</t>
  </si>
  <si>
    <t>Cleburne County, AR</t>
  </si>
  <si>
    <t>Cleveland County, AR</t>
  </si>
  <si>
    <t>Columbia County, AR</t>
  </si>
  <si>
    <t>Conway County, AR</t>
  </si>
  <si>
    <t>Craighead County, AR</t>
  </si>
  <si>
    <t>Crawford County, AR</t>
  </si>
  <si>
    <t>Crittenden County, AR</t>
  </si>
  <si>
    <t>Cross County, AR</t>
  </si>
  <si>
    <t>Dallas County, AR</t>
  </si>
  <si>
    <t>Desha County, AR</t>
  </si>
  <si>
    <t>Drew County, AR</t>
  </si>
  <si>
    <t>Faulkner County, AR</t>
  </si>
  <si>
    <t>Franklin County, AR</t>
  </si>
  <si>
    <t>Fulton County, AR</t>
  </si>
  <si>
    <t>Garland County, AR</t>
  </si>
  <si>
    <t>Grant County, AR</t>
  </si>
  <si>
    <t>Greene County, AR</t>
  </si>
  <si>
    <t>Hempstead County, AR</t>
  </si>
  <si>
    <t>Hot Spring County, AR</t>
  </si>
  <si>
    <t>Howard County, AR</t>
  </si>
  <si>
    <t>Independence County, AR</t>
  </si>
  <si>
    <t>Izard County, AR</t>
  </si>
  <si>
    <t>Jackson County, AR</t>
  </si>
  <si>
    <t>Jefferson County, AR</t>
  </si>
  <si>
    <t>Johnson County, AR</t>
  </si>
  <si>
    <t>Lafayette County, AR</t>
  </si>
  <si>
    <t>Lawrence County, AR</t>
  </si>
  <si>
    <t>Lee County, AR</t>
  </si>
  <si>
    <t>Lincoln County, AR</t>
  </si>
  <si>
    <t>Little River County, AR</t>
  </si>
  <si>
    <t>Logan County, AR</t>
  </si>
  <si>
    <t>Lonoke County, AR</t>
  </si>
  <si>
    <t>Madison County, AR</t>
  </si>
  <si>
    <t>Marion County, AR</t>
  </si>
  <si>
    <t>Miller County, AR</t>
  </si>
  <si>
    <t>Mississippi, AR</t>
  </si>
  <si>
    <t>Monroe County, AR</t>
  </si>
  <si>
    <t>Montgomery County, AR</t>
  </si>
  <si>
    <t>Nevada County, AR</t>
  </si>
  <si>
    <t>Newton County, AR</t>
  </si>
  <si>
    <t>Ouachita County, AR</t>
  </si>
  <si>
    <t>Perry County, AR</t>
  </si>
  <si>
    <t>Phillips County, AR</t>
  </si>
  <si>
    <t>Pike County, AR</t>
  </si>
  <si>
    <t>Poinsett County, AR</t>
  </si>
  <si>
    <t>Polk County, AR</t>
  </si>
  <si>
    <t>Pope County, AR</t>
  </si>
  <si>
    <t>Prairie County, AR</t>
  </si>
  <si>
    <t>Pulaski County, AR</t>
  </si>
  <si>
    <t>Randolph County, AR</t>
  </si>
  <si>
    <t>St. Francis County, AR</t>
  </si>
  <si>
    <t>Saline County, AR</t>
  </si>
  <si>
    <t>Scott County, AR</t>
  </si>
  <si>
    <t>Searcy County, AR</t>
  </si>
  <si>
    <t>Sebastian County, AR</t>
  </si>
  <si>
    <t>Sevier County, AR</t>
  </si>
  <si>
    <t>Sharp County, AR</t>
  </si>
  <si>
    <t>Stone County, AR</t>
  </si>
  <si>
    <t>Union County, AR</t>
  </si>
  <si>
    <t>Van Buren County, AR</t>
  </si>
  <si>
    <t>Washington County, AR</t>
  </si>
  <si>
    <t>White County, AR</t>
  </si>
  <si>
    <t>Woodruff County, AR</t>
  </si>
  <si>
    <t>Yell County, AR</t>
  </si>
  <si>
    <t>Alameda County, CA</t>
  </si>
  <si>
    <t>Alpine County, CA</t>
  </si>
  <si>
    <t>Amador County, CA</t>
  </si>
  <si>
    <t>Butte County, CA</t>
  </si>
  <si>
    <t>Calaveras County, CA</t>
  </si>
  <si>
    <t>Colusa County, CA</t>
  </si>
  <si>
    <t>Contra Costa County, CA</t>
  </si>
  <si>
    <t>Del Norte County, CA</t>
  </si>
  <si>
    <t>El Dorado County, CA</t>
  </si>
  <si>
    <t>Fresno County, CA</t>
  </si>
  <si>
    <t>Glenn County, CA</t>
  </si>
  <si>
    <t>Humboldt County, CA</t>
  </si>
  <si>
    <t>Imperial County, CA</t>
  </si>
  <si>
    <t>Inyo County, CA</t>
  </si>
  <si>
    <t>Kern County, CA</t>
  </si>
  <si>
    <t>Kings County, CA</t>
  </si>
  <si>
    <t>Lake County, CA</t>
  </si>
  <si>
    <t>Lassen County, CA</t>
  </si>
  <si>
    <t>Los Angeles County, CA</t>
  </si>
  <si>
    <t>Madera County, CA</t>
  </si>
  <si>
    <t>Marin County, CA</t>
  </si>
  <si>
    <t>Mariposa County, CA</t>
  </si>
  <si>
    <t>Mendocino County, CA</t>
  </si>
  <si>
    <t>Merced County, CA</t>
  </si>
  <si>
    <t>Modoc County, CA</t>
  </si>
  <si>
    <t>Mono County, CA</t>
  </si>
  <si>
    <t>Monterey County, CA</t>
  </si>
  <si>
    <t>Napa County, CA</t>
  </si>
  <si>
    <t>Nevada County, CA</t>
  </si>
  <si>
    <t>Orange County, CA</t>
  </si>
  <si>
    <t>Placer County, CA</t>
  </si>
  <si>
    <t>Plumas County, CA</t>
  </si>
  <si>
    <t>Riverside County, CA</t>
  </si>
  <si>
    <t>Sacramento County, CA</t>
  </si>
  <si>
    <t>San Benito County, CA</t>
  </si>
  <si>
    <t>San Bernardino County, CA</t>
  </si>
  <si>
    <t>San Diego County, CA</t>
  </si>
  <si>
    <t>San Francisco County, CA</t>
  </si>
  <si>
    <t>San Joaquin County, CA</t>
  </si>
  <si>
    <t>San Luis Obispo County, CA</t>
  </si>
  <si>
    <t>San Mateo County, CA</t>
  </si>
  <si>
    <t>Santa Barbara County, CA</t>
  </si>
  <si>
    <t>Santa Clara County, CA</t>
  </si>
  <si>
    <t>Santa Cruz County, CA</t>
  </si>
  <si>
    <t>Shasta County, CA</t>
  </si>
  <si>
    <t>Sierra County, CA</t>
  </si>
  <si>
    <t>Siskiyou County, CA</t>
  </si>
  <si>
    <t>Solano County, CA</t>
  </si>
  <si>
    <t>Sonoma County, CA</t>
  </si>
  <si>
    <t>Stanislaus County, CA</t>
  </si>
  <si>
    <t>Sutter County, CA</t>
  </si>
  <si>
    <t>Tehama County, CA</t>
  </si>
  <si>
    <t>Trinity County, CA</t>
  </si>
  <si>
    <t>Tulare County, CA</t>
  </si>
  <si>
    <t>Tuloumne County, CA</t>
  </si>
  <si>
    <t>Ventura County, CA</t>
  </si>
  <si>
    <t>Yolo County, CA</t>
  </si>
  <si>
    <t>Yuba County, CA</t>
  </si>
  <si>
    <t>Adams County, CO</t>
  </si>
  <si>
    <t>Alamosa County, CO</t>
  </si>
  <si>
    <t>Arapahoe County, CO</t>
  </si>
  <si>
    <t>Archuleta County, CO</t>
  </si>
  <si>
    <t>Baca County, CO</t>
  </si>
  <si>
    <t>Bent County, CO</t>
  </si>
  <si>
    <t>Boulder County, CO</t>
  </si>
  <si>
    <t>Broomfield County, CO</t>
  </si>
  <si>
    <t>Chaffee County, CO</t>
  </si>
  <si>
    <t>Cheyenne County, CO</t>
  </si>
  <si>
    <t>Clear Creek County, CO</t>
  </si>
  <si>
    <t>Conejos County, CO</t>
  </si>
  <si>
    <t>Costilla County, CO</t>
  </si>
  <si>
    <t>Crowley County, CO</t>
  </si>
  <si>
    <t>Custer County, CO</t>
  </si>
  <si>
    <t>Delta County, CO</t>
  </si>
  <si>
    <t>Denver County, CO</t>
  </si>
  <si>
    <t>Dolores County, CO</t>
  </si>
  <si>
    <t>Douglas County, CO</t>
  </si>
  <si>
    <t>Eagle County, CO</t>
  </si>
  <si>
    <t>El Paso County, CO</t>
  </si>
  <si>
    <t>Elbert County, CO</t>
  </si>
  <si>
    <t>Fremont County, CO</t>
  </si>
  <si>
    <t>Garfield County, CO</t>
  </si>
  <si>
    <t>Gilpin County, CO</t>
  </si>
  <si>
    <t>Grand County, CO</t>
  </si>
  <si>
    <t>Gunnison County, CO</t>
  </si>
  <si>
    <t>Hinsdale County, CO</t>
  </si>
  <si>
    <t>Huerfano County, CO</t>
  </si>
  <si>
    <t>Jackson County, CO</t>
  </si>
  <si>
    <t>Jefferson County, CO</t>
  </si>
  <si>
    <t>Kiowa County, CO</t>
  </si>
  <si>
    <t>Kit Carson County, CO</t>
  </si>
  <si>
    <t>La Plata County, CO</t>
  </si>
  <si>
    <t>Lake County, CO</t>
  </si>
  <si>
    <t>Larimer County, CO</t>
  </si>
  <si>
    <t>Las Animas County, CO</t>
  </si>
  <si>
    <t>Lincoln County, CO</t>
  </si>
  <si>
    <t>Logan County, CO</t>
  </si>
  <si>
    <t>Mesa County, CO</t>
  </si>
  <si>
    <t>Mineral County, CO</t>
  </si>
  <si>
    <t>Moffat County, CO</t>
  </si>
  <si>
    <t>Montezuma County, CO</t>
  </si>
  <si>
    <t>Montrose County, CO</t>
  </si>
  <si>
    <t>Morgan County, CO</t>
  </si>
  <si>
    <t>Otero County, CO</t>
  </si>
  <si>
    <t>Ouray County, CO</t>
  </si>
  <si>
    <t>Park County, CO</t>
  </si>
  <si>
    <t>Phillips County, CO</t>
  </si>
  <si>
    <t>Pitkin County, CO</t>
  </si>
  <si>
    <t>Prowers County, CO</t>
  </si>
  <si>
    <t>Pueblo County, CO</t>
  </si>
  <si>
    <t>Rio Blanco County, CO</t>
  </si>
  <si>
    <t>Rio Grande County, CO</t>
  </si>
  <si>
    <t>Routt County, CO</t>
  </si>
  <si>
    <t>Saguache County, CO</t>
  </si>
  <si>
    <t>San Juan County, CO</t>
  </si>
  <si>
    <t>San Miguel County, CO</t>
  </si>
  <si>
    <t>Sedgwick County, CO</t>
  </si>
  <si>
    <t>Summit County, CO</t>
  </si>
  <si>
    <t>Teller County, CO</t>
  </si>
  <si>
    <t>Washington County, CO</t>
  </si>
  <si>
    <t>Weld County, CO</t>
  </si>
  <si>
    <t>Yuma County, CO</t>
  </si>
  <si>
    <t>Fairfield County, CT</t>
  </si>
  <si>
    <t>Hartford County, CT</t>
  </si>
  <si>
    <t>Litchfield County, CT</t>
  </si>
  <si>
    <t>Middlesex County, CT</t>
  </si>
  <si>
    <t>New Haven County, CT</t>
  </si>
  <si>
    <t>New London County, CT</t>
  </si>
  <si>
    <t>Tolland County, CT</t>
  </si>
  <si>
    <t>Windham County, CT</t>
  </si>
  <si>
    <t>Kent County, DE</t>
  </si>
  <si>
    <t>New Castle County, DE</t>
  </si>
  <si>
    <t>Sussex County, DE</t>
  </si>
  <si>
    <t>Alachua County, FL</t>
  </si>
  <si>
    <t>Baker County, FL</t>
  </si>
  <si>
    <t>Bay County, FL</t>
  </si>
  <si>
    <t>Bradford County, FL</t>
  </si>
  <si>
    <t>Brevard County, FL</t>
  </si>
  <si>
    <t>Broward County, FL</t>
  </si>
  <si>
    <t>Calhoun County, FL</t>
  </si>
  <si>
    <t>Charlotte County, FL</t>
  </si>
  <si>
    <t>Citrus County, FL</t>
  </si>
  <si>
    <t>Clay County, FL</t>
  </si>
  <si>
    <t>Collier County, FL</t>
  </si>
  <si>
    <t>Columbia County, FL</t>
  </si>
  <si>
    <t>DeSoto County, FL</t>
  </si>
  <si>
    <t>Dixie County, FL</t>
  </si>
  <si>
    <t>Duval County, FL</t>
  </si>
  <si>
    <t>Escambia County, FL</t>
  </si>
  <si>
    <t>Flagler County, FL</t>
  </si>
  <si>
    <t>Franklin County, FL</t>
  </si>
  <si>
    <t>Gadsden County, FL</t>
  </si>
  <si>
    <t>Gilchrist County, FL</t>
  </si>
  <si>
    <t>Glades County, FL</t>
  </si>
  <si>
    <t>Gulf County, FL</t>
  </si>
  <si>
    <t>Hamilton County, FL</t>
  </si>
  <si>
    <t>Hardee County, FL</t>
  </si>
  <si>
    <t>Hendry County, FL</t>
  </si>
  <si>
    <t>Hernando County, FL</t>
  </si>
  <si>
    <t>Highlands County, FL</t>
  </si>
  <si>
    <t>Hillsborough County, FL</t>
  </si>
  <si>
    <t>Holmes County, FL</t>
  </si>
  <si>
    <t>Indian River County, FL</t>
  </si>
  <si>
    <t>Jackson County, FL</t>
  </si>
  <si>
    <t>Jefferson County, FL</t>
  </si>
  <si>
    <t>Lafayette County, FL</t>
  </si>
  <si>
    <t>Lake County, FL</t>
  </si>
  <si>
    <t>Lee County, FL</t>
  </si>
  <si>
    <t>Leon County, FL</t>
  </si>
  <si>
    <t>Levy County, FL</t>
  </si>
  <si>
    <t>Liberty County, FL</t>
  </si>
  <si>
    <t>Madison County, FL</t>
  </si>
  <si>
    <t>Manatee County, FL</t>
  </si>
  <si>
    <t>Marion County, FL</t>
  </si>
  <si>
    <t>Martin County, FL</t>
  </si>
  <si>
    <t>Miami-Dade County, FL</t>
  </si>
  <si>
    <t>Monroe County, FL</t>
  </si>
  <si>
    <t>Nassau County, FL</t>
  </si>
  <si>
    <t>Okaloosa County, FL</t>
  </si>
  <si>
    <t>Okeechobee County, FL</t>
  </si>
  <si>
    <t>Orange County, FL</t>
  </si>
  <si>
    <t>Osceola County, FL</t>
  </si>
  <si>
    <t>Palm Beach County, FL</t>
  </si>
  <si>
    <t>Pasco County, FL</t>
  </si>
  <si>
    <t>Pinellas County, FL</t>
  </si>
  <si>
    <t>Polk County, FL</t>
  </si>
  <si>
    <t>Putnam County, FL</t>
  </si>
  <si>
    <t>Santa Rosa County, FL</t>
  </si>
  <si>
    <t>Sarasota County, FL</t>
  </si>
  <si>
    <t>Seminole County, FL</t>
  </si>
  <si>
    <t>St. Johns County, FL</t>
  </si>
  <si>
    <t>St. Lucie County, FL</t>
  </si>
  <si>
    <t>Sumter County, FL</t>
  </si>
  <si>
    <t>Suwannee County, FL</t>
  </si>
  <si>
    <t>Taylor County, FL</t>
  </si>
  <si>
    <t>Union County, FL</t>
  </si>
  <si>
    <t>Volusia County, FL</t>
  </si>
  <si>
    <t>Wakulla County, FL</t>
  </si>
  <si>
    <t>Walton County, FL</t>
  </si>
  <si>
    <t>Washington County, FL</t>
  </si>
  <si>
    <t>Appling County, GA</t>
  </si>
  <si>
    <t>Atkinson County, GA</t>
  </si>
  <si>
    <t>Bacon County, GA</t>
  </si>
  <si>
    <t>Baker County, GA</t>
  </si>
  <si>
    <t>Baldwin County, GA</t>
  </si>
  <si>
    <t>Banks County, GA</t>
  </si>
  <si>
    <t>Barrow County, GA</t>
  </si>
  <si>
    <t>Bartow County, GA</t>
  </si>
  <si>
    <t>Ben Hill County, GA</t>
  </si>
  <si>
    <t>Berrien County, GA</t>
  </si>
  <si>
    <t>Bibb County, GA</t>
  </si>
  <si>
    <t>Bleckley County, GA</t>
  </si>
  <si>
    <t>Brantley County, GA</t>
  </si>
  <si>
    <t>Brooks County, GA</t>
  </si>
  <si>
    <t>Bryan County, GA</t>
  </si>
  <si>
    <t>Bulloch County, GA</t>
  </si>
  <si>
    <t>Burke County, GA</t>
  </si>
  <si>
    <t>Butts County, GA</t>
  </si>
  <si>
    <t>Calhoun County, GA</t>
  </si>
  <si>
    <t>Camden County, GA</t>
  </si>
  <si>
    <t>Candler County, GA</t>
  </si>
  <si>
    <t>Carroll County, GA</t>
  </si>
  <si>
    <t>Catoosa County, GA</t>
  </si>
  <si>
    <t>Charlton County, GA</t>
  </si>
  <si>
    <t>Chatham County, GA</t>
  </si>
  <si>
    <t>Chattahoochee County, GA</t>
  </si>
  <si>
    <t>Chattooga County, GA</t>
  </si>
  <si>
    <t>Cherokee County, GA</t>
  </si>
  <si>
    <t>Clarke County, GA</t>
  </si>
  <si>
    <t>Clay County, GA</t>
  </si>
  <si>
    <t>Clayton County, GA</t>
  </si>
  <si>
    <t>Clinch County, GA</t>
  </si>
  <si>
    <t>Cobb County, GA</t>
  </si>
  <si>
    <t>Coffee County, GA</t>
  </si>
  <si>
    <t>Colquitt County, GA</t>
  </si>
  <si>
    <t>Columbia County, GA</t>
  </si>
  <si>
    <t>Cook County, GA</t>
  </si>
  <si>
    <t>Coweta County, GA</t>
  </si>
  <si>
    <t>Crawford County, GA</t>
  </si>
  <si>
    <t>Crisp County, GA</t>
  </si>
  <si>
    <t>Dade County, GA</t>
  </si>
  <si>
    <t>Dawson County, GA</t>
  </si>
  <si>
    <t>Decatur County, GA</t>
  </si>
  <si>
    <t>DeKalb County, GA</t>
  </si>
  <si>
    <t>Dodge County, GA</t>
  </si>
  <si>
    <t>Dooly County, GA</t>
  </si>
  <si>
    <t>Dougherty County, GA</t>
  </si>
  <si>
    <t>Douglas County, GA</t>
  </si>
  <si>
    <t>Early County, GA</t>
  </si>
  <si>
    <t>Echols County, GA</t>
  </si>
  <si>
    <t>Effingham County, GA</t>
  </si>
  <si>
    <t>Elbert County, GA</t>
  </si>
  <si>
    <t>Emanuel County, GA</t>
  </si>
  <si>
    <t>Evans County, GA</t>
  </si>
  <si>
    <t>Fannin County, GA</t>
  </si>
  <si>
    <t>Fayette County, GA</t>
  </si>
  <si>
    <t>Floyd County, GA</t>
  </si>
  <si>
    <t>Forsyth County, GA</t>
  </si>
  <si>
    <t>Franklin County, GA</t>
  </si>
  <si>
    <t>Fulton County, GA</t>
  </si>
  <si>
    <t>Gilmer County, GA</t>
  </si>
  <si>
    <t>Glascock County, GA</t>
  </si>
  <si>
    <t>Glynn County, GA</t>
  </si>
  <si>
    <t>Gordon County, GA</t>
  </si>
  <si>
    <t>Grady County, GA</t>
  </si>
  <si>
    <t>Greene County, GA</t>
  </si>
  <si>
    <t>Gwinnett County, GA</t>
  </si>
  <si>
    <t>Habersham County, GA</t>
  </si>
  <si>
    <t>Hall County, GA</t>
  </si>
  <si>
    <t>Hancock County, GA</t>
  </si>
  <si>
    <t>Haralson County, GA</t>
  </si>
  <si>
    <t>Harris County, GA</t>
  </si>
  <si>
    <t>Hart County, GA</t>
  </si>
  <si>
    <t>Heard County, GA</t>
  </si>
  <si>
    <t>Henry County, GA</t>
  </si>
  <si>
    <t>Houston County, GA</t>
  </si>
  <si>
    <t>Irwin County, GA</t>
  </si>
  <si>
    <t>Jackson County, GA</t>
  </si>
  <si>
    <t>Jasper County, GA</t>
  </si>
  <si>
    <t>Jeff Davis County, GA</t>
  </si>
  <si>
    <t>Jefferson County, GA</t>
  </si>
  <si>
    <t>Jenkins County, GA</t>
  </si>
  <si>
    <t>Johnson County, GA</t>
  </si>
  <si>
    <t>Jones County, GA</t>
  </si>
  <si>
    <t>Lamar County, GA</t>
  </si>
  <si>
    <t>Lanier County, GA</t>
  </si>
  <si>
    <t>Laurens County, GA</t>
  </si>
  <si>
    <t>Lee County, GA</t>
  </si>
  <si>
    <t>Liberty County, GA</t>
  </si>
  <si>
    <t>Lincoln County, GA</t>
  </si>
  <si>
    <t>Long County, GA</t>
  </si>
  <si>
    <t>Lowndes County, GA</t>
  </si>
  <si>
    <t>Lumpkin County, GA</t>
  </si>
  <si>
    <t>Macon County, GA</t>
  </si>
  <si>
    <t>Madison County, GA</t>
  </si>
  <si>
    <t>Marion County, GA</t>
  </si>
  <si>
    <t>McDuffie County, GA</t>
  </si>
  <si>
    <t>McIntosh County, GA</t>
  </si>
  <si>
    <t>Meriwether County, GA</t>
  </si>
  <si>
    <t>Miller County, GA</t>
  </si>
  <si>
    <t>Mitchell County, GA</t>
  </si>
  <si>
    <t>Monroe County, GA</t>
  </si>
  <si>
    <t>Montgomery County, GA</t>
  </si>
  <si>
    <t>Morgan County, GA</t>
  </si>
  <si>
    <t>Murray County, GA</t>
  </si>
  <si>
    <t>Muscogee County, GA</t>
  </si>
  <si>
    <t>Newton County, GA</t>
  </si>
  <si>
    <t>Oconee County, GA</t>
  </si>
  <si>
    <t>Oglethorpe County, GA</t>
  </si>
  <si>
    <t>Paulding County, GA</t>
  </si>
  <si>
    <t>Peach County, GA</t>
  </si>
  <si>
    <t>Pickens County, GA</t>
  </si>
  <si>
    <t>Pierce County, GA</t>
  </si>
  <si>
    <t>Pike County, GA</t>
  </si>
  <si>
    <t>Polk County, GA</t>
  </si>
  <si>
    <t>Pulaski County, GA</t>
  </si>
  <si>
    <t>Putnam County, GA</t>
  </si>
  <si>
    <t>Quitman County, GA</t>
  </si>
  <si>
    <t>Rabun County, GA</t>
  </si>
  <si>
    <t>Randolph County, GA</t>
  </si>
  <si>
    <t>Richmond County, GA</t>
  </si>
  <si>
    <t>Rockdale County, GA</t>
  </si>
  <si>
    <t>Schley County, GA</t>
  </si>
  <si>
    <t>Screven County, GA</t>
  </si>
  <si>
    <t>Seminole County, GA</t>
  </si>
  <si>
    <t>Spalding County, GA</t>
  </si>
  <si>
    <t>Stephens County, GA</t>
  </si>
  <si>
    <t>Stewart County, GA</t>
  </si>
  <si>
    <t>Sumter County, GA</t>
  </si>
  <si>
    <t>Talbot County, GA</t>
  </si>
  <si>
    <t>Taliaferro County, GA</t>
  </si>
  <si>
    <t>Tattnall County, GA</t>
  </si>
  <si>
    <t>Taylor County, GA</t>
  </si>
  <si>
    <t>Telfair County, GA</t>
  </si>
  <si>
    <t>Terrell County, GA</t>
  </si>
  <si>
    <t>Thomas County, GA</t>
  </si>
  <si>
    <t>Tift County, GA</t>
  </si>
  <si>
    <t>Toombs County, GA</t>
  </si>
  <si>
    <t>Towns County, GA</t>
  </si>
  <si>
    <t>Treutlen County, GA</t>
  </si>
  <si>
    <t>Troup County, GA</t>
  </si>
  <si>
    <t>Turner County, GA</t>
  </si>
  <si>
    <t>Twiggs County, GA</t>
  </si>
  <si>
    <t>Union County, GA</t>
  </si>
  <si>
    <t>Upson County, GA</t>
  </si>
  <si>
    <t>Walker County, GA</t>
  </si>
  <si>
    <t>Walton County, GA</t>
  </si>
  <si>
    <t>Ware County, GA</t>
  </si>
  <si>
    <t>Warren County, GA</t>
  </si>
  <si>
    <t>Washington County, GA</t>
  </si>
  <si>
    <t>Wayne County, GA</t>
  </si>
  <si>
    <t>Webster County, GA</t>
  </si>
  <si>
    <t>Wheeler County, GA</t>
  </si>
  <si>
    <t>White County, GA</t>
  </si>
  <si>
    <t>Whitfield County, GA</t>
  </si>
  <si>
    <t>Wilcox County, GA</t>
  </si>
  <si>
    <t>Wilkes County, GA</t>
  </si>
  <si>
    <t>Wilkinson County, GA</t>
  </si>
  <si>
    <t>Worth County, GA</t>
  </si>
  <si>
    <t>Hawaii County, HI</t>
  </si>
  <si>
    <t>Honolulu County, HI</t>
  </si>
  <si>
    <t>Kalawao County, HI</t>
  </si>
  <si>
    <t>Kauai County, HI</t>
  </si>
  <si>
    <t>Maui County, HI</t>
  </si>
  <si>
    <t>Ada County, ID</t>
  </si>
  <si>
    <t>Adams County, ID</t>
  </si>
  <si>
    <t>Bannock County, ID</t>
  </si>
  <si>
    <t>Bear Lake County, ID</t>
  </si>
  <si>
    <t>Benewah County, ID</t>
  </si>
  <si>
    <t>Bingham County, ID</t>
  </si>
  <si>
    <t>Blaine County, ID</t>
  </si>
  <si>
    <t>Boise County, ID</t>
  </si>
  <si>
    <t>Bonner County, ID</t>
  </si>
  <si>
    <t>Bonneville County, ID</t>
  </si>
  <si>
    <t>Boundary County, ID</t>
  </si>
  <si>
    <t>Butte County, ID</t>
  </si>
  <si>
    <t>Camas County, ID</t>
  </si>
  <si>
    <t>Canyon County, ID</t>
  </si>
  <si>
    <t>Caribou County, ID</t>
  </si>
  <si>
    <t>Cassia County, ID</t>
  </si>
  <si>
    <t>Clark County, ID</t>
  </si>
  <si>
    <t>Clearwater County, ID</t>
  </si>
  <si>
    <t>Custer County, ID</t>
  </si>
  <si>
    <t>Elmore County, ID</t>
  </si>
  <si>
    <t>Franklin County, ID</t>
  </si>
  <si>
    <t>Fremont County, ID</t>
  </si>
  <si>
    <t>Gem County, ID</t>
  </si>
  <si>
    <t>Gooding County, ID</t>
  </si>
  <si>
    <t>Idaho County, ID</t>
  </si>
  <si>
    <t>Jefferson County, ID</t>
  </si>
  <si>
    <t>Jerome County, ID</t>
  </si>
  <si>
    <t>Kootenai County, ID</t>
  </si>
  <si>
    <t>Latah County, ID</t>
  </si>
  <si>
    <t>Lemhi County, ID</t>
  </si>
  <si>
    <t>Lewis County, ID</t>
  </si>
  <si>
    <t>Lincoln County, ID</t>
  </si>
  <si>
    <t>Madison County, ID</t>
  </si>
  <si>
    <t>Minidoka County, ID</t>
  </si>
  <si>
    <t>Nez Perce County, ID</t>
  </si>
  <si>
    <t>Oneida County, ID</t>
  </si>
  <si>
    <t>Owyhee County, ID</t>
  </si>
  <si>
    <t>Payette County, ID</t>
  </si>
  <si>
    <t>Power County, ID</t>
  </si>
  <si>
    <t>Shoshone County, ID</t>
  </si>
  <si>
    <t>Teton County, ID</t>
  </si>
  <si>
    <t>Twin Falls County, ID</t>
  </si>
  <si>
    <t>Valley County, ID</t>
  </si>
  <si>
    <t>Washington County, ID</t>
  </si>
  <si>
    <t>Adams County, IL</t>
  </si>
  <si>
    <t>Alexander County, IL</t>
  </si>
  <si>
    <t>Bond County, IL</t>
  </si>
  <si>
    <t>Boone County, IL</t>
  </si>
  <si>
    <t>Brown County, IL</t>
  </si>
  <si>
    <t>Bureau County, IL</t>
  </si>
  <si>
    <t>Calhoun County, IL</t>
  </si>
  <si>
    <t>Carroll County, IL</t>
  </si>
  <si>
    <t>Cass County, IL</t>
  </si>
  <si>
    <t>Champaign County, IL</t>
  </si>
  <si>
    <t>Christian County, IL</t>
  </si>
  <si>
    <t>Clark County, IL</t>
  </si>
  <si>
    <t>Clay County, IL</t>
  </si>
  <si>
    <t>Clinton County, IL</t>
  </si>
  <si>
    <t>Coles County, IL</t>
  </si>
  <si>
    <t>Cook County, IL</t>
  </si>
  <si>
    <t>Crawford County, IL</t>
  </si>
  <si>
    <t>Cumberland County, IL</t>
  </si>
  <si>
    <t>De Witt County, IL</t>
  </si>
  <si>
    <t>DeKalb County, IL</t>
  </si>
  <si>
    <t>Douglas County, IL</t>
  </si>
  <si>
    <t>DuPage County, IL</t>
  </si>
  <si>
    <t>Edgar County, IL</t>
  </si>
  <si>
    <t>Edwards County, IL</t>
  </si>
  <si>
    <t>Effingham County, IL</t>
  </si>
  <si>
    <t>Fayette County, IL</t>
  </si>
  <si>
    <t>Ford County, IL</t>
  </si>
  <si>
    <t>Franklin County, IL</t>
  </si>
  <si>
    <t>Fulton County, IL</t>
  </si>
  <si>
    <t>Gallatin County, IL</t>
  </si>
  <si>
    <t>Greene County, IL</t>
  </si>
  <si>
    <t>Grundy County, IL</t>
  </si>
  <si>
    <t>Hamilton County, IL</t>
  </si>
  <si>
    <t>Hancock County, IL</t>
  </si>
  <si>
    <t>Hardin County, IL</t>
  </si>
  <si>
    <t>Henderson County, IL</t>
  </si>
  <si>
    <t>Henry County, IL</t>
  </si>
  <si>
    <t>Iroquois County, IL</t>
  </si>
  <si>
    <t>Jackson County, IL</t>
  </si>
  <si>
    <t>Jasper County, IL</t>
  </si>
  <si>
    <t>Jefferson County, IL</t>
  </si>
  <si>
    <t>Jersey County, IL</t>
  </si>
  <si>
    <t>Jo Daviess County, IL</t>
  </si>
  <si>
    <t>Johnson County, IL</t>
  </si>
  <si>
    <t>Kane County, IL</t>
  </si>
  <si>
    <t>Kankakee County, IL</t>
  </si>
  <si>
    <t>Kendall County, IL</t>
  </si>
  <si>
    <t>Knox County, IL</t>
  </si>
  <si>
    <t>La Salle County, IL</t>
  </si>
  <si>
    <t>Lake County, IL</t>
  </si>
  <si>
    <t>Lawrence County, IL</t>
  </si>
  <si>
    <t>Lee County, IL</t>
  </si>
  <si>
    <t>Livingston County, IL</t>
  </si>
  <si>
    <t>Logan County, IL</t>
  </si>
  <si>
    <t>Macon County, IL</t>
  </si>
  <si>
    <t>Macoupin County, IL</t>
  </si>
  <si>
    <t>Madison County, IL</t>
  </si>
  <si>
    <t>Marion County, IL</t>
  </si>
  <si>
    <t>Marshall County, IL</t>
  </si>
  <si>
    <t>Mason County, IL</t>
  </si>
  <si>
    <t>Massac County, IL</t>
  </si>
  <si>
    <t>McDonough County, IL</t>
  </si>
  <si>
    <t>McHenry County, IL</t>
  </si>
  <si>
    <t>McLean County, IL</t>
  </si>
  <si>
    <t>Menard County, IL</t>
  </si>
  <si>
    <t>Mercer County, IL</t>
  </si>
  <si>
    <t>Monroe County, IL</t>
  </si>
  <si>
    <t>Montgomery County, IL</t>
  </si>
  <si>
    <t>Morgan County, IL</t>
  </si>
  <si>
    <t>Moultrie County, IL</t>
  </si>
  <si>
    <t>Ogle County, IL</t>
  </si>
  <si>
    <t>Peoria County, IL</t>
  </si>
  <si>
    <t>Perry County, IL</t>
  </si>
  <si>
    <t>Piatt County, IL</t>
  </si>
  <si>
    <t>Pike County, IL</t>
  </si>
  <si>
    <t>Pope County, IL</t>
  </si>
  <si>
    <t>Pulaski County, IL</t>
  </si>
  <si>
    <t>Putnam County, IL</t>
  </si>
  <si>
    <t>Randolph County, IL</t>
  </si>
  <si>
    <t>Richland County, IL</t>
  </si>
  <si>
    <t>Rock Island County, IL</t>
  </si>
  <si>
    <t>Saline County, IL</t>
  </si>
  <si>
    <t>Sangamon County, IL</t>
  </si>
  <si>
    <t>Schuyler County, IL</t>
  </si>
  <si>
    <t>Scott County, IL</t>
  </si>
  <si>
    <t>Shelby County, IL</t>
  </si>
  <si>
    <t>St. Clair County, IL</t>
  </si>
  <si>
    <t>Stark County, IL</t>
  </si>
  <si>
    <t>Stephenson County, IL</t>
  </si>
  <si>
    <t>Tazewell County, IL</t>
  </si>
  <si>
    <t>Union County, IL</t>
  </si>
  <si>
    <t>Vermilion County, IL</t>
  </si>
  <si>
    <t>Wabash County, IL</t>
  </si>
  <si>
    <t>Warren County, IL</t>
  </si>
  <si>
    <t>Washington County, IL</t>
  </si>
  <si>
    <t>Wayne County, IL</t>
  </si>
  <si>
    <t>White County, IL</t>
  </si>
  <si>
    <t>Whiteside County, IL</t>
  </si>
  <si>
    <t>Will County, IL</t>
  </si>
  <si>
    <t>Williamson County, IL</t>
  </si>
  <si>
    <t>Winnebago County, IL</t>
  </si>
  <si>
    <t>Woodford County, IL</t>
  </si>
  <si>
    <t>Adams County, IN</t>
  </si>
  <si>
    <t>Allen County, IN</t>
  </si>
  <si>
    <t>Bartholomew County, IN</t>
  </si>
  <si>
    <t>Benton County, IN</t>
  </si>
  <si>
    <t>Blackford County, IN</t>
  </si>
  <si>
    <t>Boone County, IN</t>
  </si>
  <si>
    <t>Brown County, IN</t>
  </si>
  <si>
    <t>Carroll County, IN</t>
  </si>
  <si>
    <t>Cass County, IN</t>
  </si>
  <si>
    <t>Clark County, IN</t>
  </si>
  <si>
    <t>Clay County, IN</t>
  </si>
  <si>
    <t>Clinton County, IN</t>
  </si>
  <si>
    <t>Crawford County, IN</t>
  </si>
  <si>
    <t>Daviess County, IN</t>
  </si>
  <si>
    <t>De Kalb County, IN</t>
  </si>
  <si>
    <t>Dearborn County, IN</t>
  </si>
  <si>
    <t>Decatur County, IN</t>
  </si>
  <si>
    <t>Delaware County, IN</t>
  </si>
  <si>
    <t>Dubois County, IN</t>
  </si>
  <si>
    <t>Elkhart County, IN</t>
  </si>
  <si>
    <t>Fayette County, IN</t>
  </si>
  <si>
    <t>Floyd County, IN</t>
  </si>
  <si>
    <t>Fountain County, IN</t>
  </si>
  <si>
    <t>Franklin County, IN</t>
  </si>
  <si>
    <t>Fulton County, IN</t>
  </si>
  <si>
    <t>Gibson County, IN</t>
  </si>
  <si>
    <t>Grant County, IN</t>
  </si>
  <si>
    <t>Greene County, IN</t>
  </si>
  <si>
    <t>Hamilton County, IN</t>
  </si>
  <si>
    <t>Hancock County, IN</t>
  </si>
  <si>
    <t>Harrison County, IN</t>
  </si>
  <si>
    <t>Hendricks County, IN</t>
  </si>
  <si>
    <t>Henry County, IN</t>
  </si>
  <si>
    <t>Howard County, IN</t>
  </si>
  <si>
    <t>Huntington County, IN</t>
  </si>
  <si>
    <t>Jackson County, IN</t>
  </si>
  <si>
    <t>Jasper County, IN</t>
  </si>
  <si>
    <t>Jay County, IN</t>
  </si>
  <si>
    <t>Jefferson County, IN</t>
  </si>
  <si>
    <t>Jennings County, IN</t>
  </si>
  <si>
    <t>Johnson County, IN</t>
  </si>
  <si>
    <t>Knox County, IN</t>
  </si>
  <si>
    <t>Kosciusko County, IN</t>
  </si>
  <si>
    <t>La Porte County, IN</t>
  </si>
  <si>
    <t>Lagrange County, IN</t>
  </si>
  <si>
    <t>Lake County, IN</t>
  </si>
  <si>
    <t>Lawrence County, IN</t>
  </si>
  <si>
    <t>Madison County, IN</t>
  </si>
  <si>
    <t>Marion County, IN</t>
  </si>
  <si>
    <t>Marshall County, IN</t>
  </si>
  <si>
    <t>Martin County, IN</t>
  </si>
  <si>
    <t>Miami County, IN</t>
  </si>
  <si>
    <t>Monroe County, IN</t>
  </si>
  <si>
    <t>Montgomery County, IN</t>
  </si>
  <si>
    <t>Morgan County, IN</t>
  </si>
  <si>
    <t>Newton County, IN</t>
  </si>
  <si>
    <t>Noble County, IN</t>
  </si>
  <si>
    <t>Ohio County, IN</t>
  </si>
  <si>
    <t>Orange County, IN</t>
  </si>
  <si>
    <t>Owen County, IN</t>
  </si>
  <si>
    <t>Parke County, IN</t>
  </si>
  <si>
    <t>Perry County, IN</t>
  </si>
  <si>
    <t>Pike County, IN</t>
  </si>
  <si>
    <t>Porter County, IN</t>
  </si>
  <si>
    <t>Posey County, IN</t>
  </si>
  <si>
    <t>Pulaski County, IN</t>
  </si>
  <si>
    <t>Putnam County, IN</t>
  </si>
  <si>
    <t>Randolph County, IN</t>
  </si>
  <si>
    <t>Ripley County, IN</t>
  </si>
  <si>
    <t>Rush County, IN</t>
  </si>
  <si>
    <t>Scott County, IN</t>
  </si>
  <si>
    <t>Shelby County, IN</t>
  </si>
  <si>
    <t>Spencer County, IN</t>
  </si>
  <si>
    <t>St. Joseph County, IN</t>
  </si>
  <si>
    <t>Starke County, IN</t>
  </si>
  <si>
    <t>Steuben County, IN</t>
  </si>
  <si>
    <t>Sullivan County, IN</t>
  </si>
  <si>
    <t>Switzerland County, IN</t>
  </si>
  <si>
    <t>Tippecanoe County, IN</t>
  </si>
  <si>
    <t>Tipton County, IN</t>
  </si>
  <si>
    <t>Union County, IN</t>
  </si>
  <si>
    <t>Vanderburgh County, IN</t>
  </si>
  <si>
    <t>Vermillion County, IN</t>
  </si>
  <si>
    <t>Vigo County, IN</t>
  </si>
  <si>
    <t>Wabash County, IN</t>
  </si>
  <si>
    <t>Warren County, IN</t>
  </si>
  <si>
    <t>Warrick County, IN</t>
  </si>
  <si>
    <t>Washington County, IN</t>
  </si>
  <si>
    <t>Wayne County, IN</t>
  </si>
  <si>
    <t>Wells County, IN</t>
  </si>
  <si>
    <t>White County, IN</t>
  </si>
  <si>
    <t>Whitley County, IN</t>
  </si>
  <si>
    <t>Adair County, IA</t>
  </si>
  <si>
    <t>Adams County, IA</t>
  </si>
  <si>
    <t>Allamakee County, IA</t>
  </si>
  <si>
    <t>Appanoose County, IA</t>
  </si>
  <si>
    <t>Audubon County, IA</t>
  </si>
  <si>
    <t>Benton County, IA</t>
  </si>
  <si>
    <t>Black Hawk County, IA</t>
  </si>
  <si>
    <t>Boone County, IA</t>
  </si>
  <si>
    <t>Bremer County, IA</t>
  </si>
  <si>
    <t>Buchanan County, IA</t>
  </si>
  <si>
    <t>Buena Vista County, IA</t>
  </si>
  <si>
    <t>Butler County, IA</t>
  </si>
  <si>
    <t>Calhoun County, IA</t>
  </si>
  <si>
    <t>Carroll County, IA</t>
  </si>
  <si>
    <t>Cass County, IA</t>
  </si>
  <si>
    <t>Cedar County, IA</t>
  </si>
  <si>
    <t>Cerro Gordo County, IA</t>
  </si>
  <si>
    <t>Cherokee County, IA</t>
  </si>
  <si>
    <t>Chickasaw County, IA</t>
  </si>
  <si>
    <t>Clarke County, IA</t>
  </si>
  <si>
    <t>Clay County, IA</t>
  </si>
  <si>
    <t>Clayton County, IA</t>
  </si>
  <si>
    <t>Clinton County, IA</t>
  </si>
  <si>
    <t>Crawford County, IA</t>
  </si>
  <si>
    <t>Dallas County, IA</t>
  </si>
  <si>
    <t>Davis County, IA</t>
  </si>
  <si>
    <t>Decatur County, IA</t>
  </si>
  <si>
    <t>Delaware County, IA</t>
  </si>
  <si>
    <t>Des Moines County, IA</t>
  </si>
  <si>
    <t>Dickinson County, IA</t>
  </si>
  <si>
    <t>Dubuque County, IA</t>
  </si>
  <si>
    <t>Emmet County, IA</t>
  </si>
  <si>
    <t>Fayette County, IA</t>
  </si>
  <si>
    <t>Floyd County, IA</t>
  </si>
  <si>
    <t>Franklin County, IA</t>
  </si>
  <si>
    <t>Fremont County, IA</t>
  </si>
  <si>
    <t>Greene County, IA</t>
  </si>
  <si>
    <t>Grundy County, IA</t>
  </si>
  <si>
    <t>Guthrie County, IA</t>
  </si>
  <si>
    <t>Hamilton County, IA</t>
  </si>
  <si>
    <t>Hancock County, IA</t>
  </si>
  <si>
    <t>Hardin County, IA</t>
  </si>
  <si>
    <t>Harrison County, IA</t>
  </si>
  <si>
    <t>Henry County, IA</t>
  </si>
  <si>
    <t>Howard County, IA</t>
  </si>
  <si>
    <t>Humboldt County, IA</t>
  </si>
  <si>
    <t>Ida County, IA</t>
  </si>
  <si>
    <t>Iowa County, IA</t>
  </si>
  <si>
    <t>Jackson County, IA</t>
  </si>
  <si>
    <t>Jasper County, IA</t>
  </si>
  <si>
    <t>Jefferson County, IA</t>
  </si>
  <si>
    <t>Johnson County, IA</t>
  </si>
  <si>
    <t>Jones County, IA</t>
  </si>
  <si>
    <t>Keokuk County, IA</t>
  </si>
  <si>
    <t>Kossuth County, IA</t>
  </si>
  <si>
    <t>Lee County, IA</t>
  </si>
  <si>
    <t>Linn County, IA</t>
  </si>
  <si>
    <t>Louisa County, IA</t>
  </si>
  <si>
    <t>Lucas County, IA</t>
  </si>
  <si>
    <t>Lyon County, IA</t>
  </si>
  <si>
    <t>Madison County, IA</t>
  </si>
  <si>
    <t>Mahaska County, IA</t>
  </si>
  <si>
    <t>Marion County, IA</t>
  </si>
  <si>
    <t>Marshall County, IA</t>
  </si>
  <si>
    <t>Mills County, IA</t>
  </si>
  <si>
    <t>Mitchell County, IA</t>
  </si>
  <si>
    <t>Monona County, IA</t>
  </si>
  <si>
    <t>Monroe County, IA</t>
  </si>
  <si>
    <t>Montgomery County, IA</t>
  </si>
  <si>
    <t>Muscatine County, IA</t>
  </si>
  <si>
    <t>O'Brien County, IA</t>
  </si>
  <si>
    <t>Osceola County, IA</t>
  </si>
  <si>
    <t>Page County, IA</t>
  </si>
  <si>
    <t>Palo Alto County, IA</t>
  </si>
  <si>
    <t>Plymouth County, IA</t>
  </si>
  <si>
    <t>Pocahontas County, IA</t>
  </si>
  <si>
    <t>Polk County, IA</t>
  </si>
  <si>
    <t>Pottawattamie County, IA</t>
  </si>
  <si>
    <t>Poweshiek County, IA</t>
  </si>
  <si>
    <t>Ringgold County, IA</t>
  </si>
  <si>
    <t>Sac County, IA</t>
  </si>
  <si>
    <t>Scott County, IA</t>
  </si>
  <si>
    <t>Shelby County, IA</t>
  </si>
  <si>
    <t>Sioux County, IA</t>
  </si>
  <si>
    <t>Story County, IA</t>
  </si>
  <si>
    <t>Tama County, IA</t>
  </si>
  <si>
    <t>Taylor County, IA</t>
  </si>
  <si>
    <t>Union County, IA</t>
  </si>
  <si>
    <t>Van Buren County, IA</t>
  </si>
  <si>
    <t>Wapello County, IA</t>
  </si>
  <si>
    <t>Warren County, IA</t>
  </si>
  <si>
    <t>Washington County, IA</t>
  </si>
  <si>
    <t>Wayne County, IA</t>
  </si>
  <si>
    <t>Webster County, IA</t>
  </si>
  <si>
    <t>Winnebago County, IA</t>
  </si>
  <si>
    <t>Winneshiek County, IA</t>
  </si>
  <si>
    <t>Woodbury County, IA</t>
  </si>
  <si>
    <t>Worth County, IA</t>
  </si>
  <si>
    <t>Wright County, IA</t>
  </si>
  <si>
    <t>Allen County, KS</t>
  </si>
  <si>
    <t>Anderson County, KS</t>
  </si>
  <si>
    <t>Atchison County, KS</t>
  </si>
  <si>
    <t>Barber County, KS</t>
  </si>
  <si>
    <t>Barton County, KS</t>
  </si>
  <si>
    <t>Bourbon County, KS</t>
  </si>
  <si>
    <t>Brown County, KS</t>
  </si>
  <si>
    <t>Butler County, KS</t>
  </si>
  <si>
    <t>Chase County, KS</t>
  </si>
  <si>
    <t>Chautauqua County, KS</t>
  </si>
  <si>
    <t>Cherokee County, KS</t>
  </si>
  <si>
    <t>Cheyenne County, KS</t>
  </si>
  <si>
    <t>Clark County, KS</t>
  </si>
  <si>
    <t>Clay County, KS</t>
  </si>
  <si>
    <t>Cloud County, KS</t>
  </si>
  <si>
    <t>Coffey County, KS</t>
  </si>
  <si>
    <t>Comanche County, KS</t>
  </si>
  <si>
    <t>Cowley County, KS</t>
  </si>
  <si>
    <t>Crawford County, KS</t>
  </si>
  <si>
    <t>Decatur County, KS</t>
  </si>
  <si>
    <t>Dickinson County, KS</t>
  </si>
  <si>
    <t>Doniphan County, KS</t>
  </si>
  <si>
    <t>Douglas County, KS</t>
  </si>
  <si>
    <t>Edwards County, KS</t>
  </si>
  <si>
    <t>Elk County, KS</t>
  </si>
  <si>
    <t>Ellis County, KS</t>
  </si>
  <si>
    <t>Ellsworth County, KS</t>
  </si>
  <si>
    <t>Finney County, KS</t>
  </si>
  <si>
    <t>Ford County, KS</t>
  </si>
  <si>
    <t>Franklin County, KS</t>
  </si>
  <si>
    <t>Geary County, KS</t>
  </si>
  <si>
    <t>Gove County, KS</t>
  </si>
  <si>
    <t>Graham County, KS</t>
  </si>
  <si>
    <t>Grant County, KS</t>
  </si>
  <si>
    <t>Gray County, KS</t>
  </si>
  <si>
    <t>Greeley County, KS</t>
  </si>
  <si>
    <t>Greenwood County, KS</t>
  </si>
  <si>
    <t>Hamilton County, KS</t>
  </si>
  <si>
    <t>Harper County, KS</t>
  </si>
  <si>
    <t>Harvey County, KS</t>
  </si>
  <si>
    <t>Haskell County, KS</t>
  </si>
  <si>
    <t>Hodgeman County, KS</t>
  </si>
  <si>
    <t>Jackson County, KS</t>
  </si>
  <si>
    <t>Jefferson County, KS</t>
  </si>
  <si>
    <t>Jewell County, KS</t>
  </si>
  <si>
    <t>Johnson County, KS</t>
  </si>
  <si>
    <t>Kearny County, KS</t>
  </si>
  <si>
    <t>Kingman County, KS</t>
  </si>
  <si>
    <t>Kiowa County, KS</t>
  </si>
  <si>
    <t>Labette County, KS</t>
  </si>
  <si>
    <t>Lane County, KS</t>
  </si>
  <si>
    <t>Leavenworth County, KS</t>
  </si>
  <si>
    <t>Lincoln County, KS</t>
  </si>
  <si>
    <t>Linn County, KS</t>
  </si>
  <si>
    <t>Logan County, KS</t>
  </si>
  <si>
    <t>Lyon County, KS</t>
  </si>
  <si>
    <t>Marion County, KS</t>
  </si>
  <si>
    <t>Marshall County, KS</t>
  </si>
  <si>
    <t>McPherson County, KS</t>
  </si>
  <si>
    <t>Meade County, KS</t>
  </si>
  <si>
    <t>Miami County, KS</t>
  </si>
  <si>
    <t>Mitchell County, KS</t>
  </si>
  <si>
    <t>Montgomery County, KS</t>
  </si>
  <si>
    <t>Morris County, KS</t>
  </si>
  <si>
    <t>Morton County, KS</t>
  </si>
  <si>
    <t>Nemaha County, KS</t>
  </si>
  <si>
    <t>Neosho County, KS</t>
  </si>
  <si>
    <t>Ness County, KS</t>
  </si>
  <si>
    <t>Norton County, KS</t>
  </si>
  <si>
    <t>Osage County, KS</t>
  </si>
  <si>
    <t>Osborne County, KS</t>
  </si>
  <si>
    <t>Ottawa County, KS</t>
  </si>
  <si>
    <t>Pawnee County, KS</t>
  </si>
  <si>
    <t>Phillips County, KS</t>
  </si>
  <si>
    <t>Pottawatomie County, KS</t>
  </si>
  <si>
    <t>Pratt County, KS</t>
  </si>
  <si>
    <t>Rawlins County, KS</t>
  </si>
  <si>
    <t>Reno County, KS</t>
  </si>
  <si>
    <t>Republic County, KS</t>
  </si>
  <si>
    <t>Rice County, KS</t>
  </si>
  <si>
    <t>Riley County, KS</t>
  </si>
  <si>
    <t>Rooks County, KS</t>
  </si>
  <si>
    <t>Rush County, KS</t>
  </si>
  <si>
    <t>Russell County, KS</t>
  </si>
  <si>
    <t>Saline County, KS</t>
  </si>
  <si>
    <t>Scott County, KS</t>
  </si>
  <si>
    <t>Sedgwick County, KS</t>
  </si>
  <si>
    <t>Seward County, KS</t>
  </si>
  <si>
    <t>Shawnee County, KS</t>
  </si>
  <si>
    <t>Sheridan County, KS</t>
  </si>
  <si>
    <t>Sherman County, KS</t>
  </si>
  <si>
    <t>Smith County, KS</t>
  </si>
  <si>
    <t>Stafford County, KS</t>
  </si>
  <si>
    <t>Stanton County, KS</t>
  </si>
  <si>
    <t>Stevens County, KS</t>
  </si>
  <si>
    <t>Sumner County, KS</t>
  </si>
  <si>
    <t>Thomas County, KS</t>
  </si>
  <si>
    <t>Trego County, KS</t>
  </si>
  <si>
    <t>Wabaunsee County, KS</t>
  </si>
  <si>
    <t>Wallace County, KS</t>
  </si>
  <si>
    <t>Washington County, KS</t>
  </si>
  <si>
    <t>Wichita County, KS</t>
  </si>
  <si>
    <t>Wilson County, KS</t>
  </si>
  <si>
    <t>Woodson County, KS</t>
  </si>
  <si>
    <t>Wyandotte County, KS</t>
  </si>
  <si>
    <t>Adair County, KY</t>
  </si>
  <si>
    <t>Allen County, KY</t>
  </si>
  <si>
    <t>Anderson County, KY</t>
  </si>
  <si>
    <t>Ballard County, KY</t>
  </si>
  <si>
    <t>Barren County, KY</t>
  </si>
  <si>
    <t>Bath County, KY</t>
  </si>
  <si>
    <t>Bell County, KY</t>
  </si>
  <si>
    <t>Boone County, KY</t>
  </si>
  <si>
    <t>Bourbon County, KY</t>
  </si>
  <si>
    <t>Boyd County, KY</t>
  </si>
  <si>
    <t>Boyle County, KY</t>
  </si>
  <si>
    <t>Bracken County, KY</t>
  </si>
  <si>
    <t>Breathitt County, KY</t>
  </si>
  <si>
    <t>Breckenridge County, KY</t>
  </si>
  <si>
    <t>Bullitt County, KY</t>
  </si>
  <si>
    <t>Butler County, KY</t>
  </si>
  <si>
    <t>Caldwell County, KY</t>
  </si>
  <si>
    <t>Calloway County, KY</t>
  </si>
  <si>
    <t>Campbell County, KY</t>
  </si>
  <si>
    <t>Carlisle County, KY</t>
  </si>
  <si>
    <t>Carroll County, KY</t>
  </si>
  <si>
    <t>Carter County, KY</t>
  </si>
  <si>
    <t>Casey County, KY</t>
  </si>
  <si>
    <t>Christian County, KY</t>
  </si>
  <si>
    <t>Clark County, KY</t>
  </si>
  <si>
    <t>Clay County, KY</t>
  </si>
  <si>
    <t>Clinton County, KY</t>
  </si>
  <si>
    <t>Crittenden County, KY</t>
  </si>
  <si>
    <t>Cumberland County, KY</t>
  </si>
  <si>
    <t>Daviess County, KY</t>
  </si>
  <si>
    <t>Edmonson County, KY</t>
  </si>
  <si>
    <t>Elliott County, KY</t>
  </si>
  <si>
    <t>Estill County, KY</t>
  </si>
  <si>
    <t>Fayette County, KY</t>
  </si>
  <si>
    <t>Fleming County, KY</t>
  </si>
  <si>
    <t>Floyd County, KY</t>
  </si>
  <si>
    <t>Franklin County, KY</t>
  </si>
  <si>
    <t>Fulton County, KY</t>
  </si>
  <si>
    <t>Gallatin County, KY</t>
  </si>
  <si>
    <t>Garrard County, KY</t>
  </si>
  <si>
    <t>Grant County, KY</t>
  </si>
  <si>
    <t>Graves County, KY</t>
  </si>
  <si>
    <t>Grayson County, KY</t>
  </si>
  <si>
    <t>Green County, KY</t>
  </si>
  <si>
    <t>Greenup County, KY</t>
  </si>
  <si>
    <t>Hancock County, KY</t>
  </si>
  <si>
    <t>Hardin County, KY</t>
  </si>
  <si>
    <t>Harlan County, KY</t>
  </si>
  <si>
    <t>Harrison County, KY</t>
  </si>
  <si>
    <t>Hart County, KY</t>
  </si>
  <si>
    <t>Henderson County, KY</t>
  </si>
  <si>
    <t>Henry County, KY</t>
  </si>
  <si>
    <t>Hickman County, KY</t>
  </si>
  <si>
    <t>Hopkins County, KY</t>
  </si>
  <si>
    <t>Jackson County, KY</t>
  </si>
  <si>
    <t>Jefferson County, KY</t>
  </si>
  <si>
    <t>Jessamine County, KY</t>
  </si>
  <si>
    <t>Johnson County, KY</t>
  </si>
  <si>
    <t>Kenton County, KY</t>
  </si>
  <si>
    <t>Knott County, KY</t>
  </si>
  <si>
    <t>Knox County, KY</t>
  </si>
  <si>
    <t>Larue County, KY</t>
  </si>
  <si>
    <t>Laurel County, KY</t>
  </si>
  <si>
    <t>Lawrence County, KY</t>
  </si>
  <si>
    <t>Lee County, KY</t>
  </si>
  <si>
    <t>Leslie County, KY</t>
  </si>
  <si>
    <t>Letcher County, KY</t>
  </si>
  <si>
    <t>Lewis County, KY</t>
  </si>
  <si>
    <t>Lincoln County, KY</t>
  </si>
  <si>
    <t>Livingston County, KY</t>
  </si>
  <si>
    <t>Logan County, KY</t>
  </si>
  <si>
    <t>Lyon County, KY</t>
  </si>
  <si>
    <t>Madison County, KY</t>
  </si>
  <si>
    <t>Magoffin County, KY</t>
  </si>
  <si>
    <t>Marion County, KY</t>
  </si>
  <si>
    <t>Marshall County, KY</t>
  </si>
  <si>
    <t>Martin County, KY</t>
  </si>
  <si>
    <t>Mason County, KY</t>
  </si>
  <si>
    <t>McCracken County, KY</t>
  </si>
  <si>
    <t>McCreary County, KY</t>
  </si>
  <si>
    <t>McLean County, KY</t>
  </si>
  <si>
    <t>Meade County, KY</t>
  </si>
  <si>
    <t>Menifee County, KY</t>
  </si>
  <si>
    <t>Mercer County, KY</t>
  </si>
  <si>
    <t>Metcalfe County, KY</t>
  </si>
  <si>
    <t>Monroe County, KY</t>
  </si>
  <si>
    <t>Montgomery County, KY</t>
  </si>
  <si>
    <t>Morgan County, KY</t>
  </si>
  <si>
    <t>Muhlenberg County, KY</t>
  </si>
  <si>
    <t>Nelson County, KY</t>
  </si>
  <si>
    <t>Nicholas County, KY</t>
  </si>
  <si>
    <t>Ohio County, KY</t>
  </si>
  <si>
    <t>Oldham County, KY</t>
  </si>
  <si>
    <t>Owen County, KY</t>
  </si>
  <si>
    <t>Owsley County, KY</t>
  </si>
  <si>
    <t>Pendleton County, KY</t>
  </si>
  <si>
    <t>Perry County, KY</t>
  </si>
  <si>
    <t>Pike County, KY</t>
  </si>
  <si>
    <t>Powell County, KY</t>
  </si>
  <si>
    <t>Pulaski County, KY</t>
  </si>
  <si>
    <t>Robertson County, KY</t>
  </si>
  <si>
    <t>Rockcastle County, KY</t>
  </si>
  <si>
    <t>Rowan County, KY</t>
  </si>
  <si>
    <t>Russell County, KY</t>
  </si>
  <si>
    <t>Scott County, KY</t>
  </si>
  <si>
    <t>Shelby County, KY</t>
  </si>
  <si>
    <t>Simpson County, KY</t>
  </si>
  <si>
    <t>Spencer County, KY</t>
  </si>
  <si>
    <t>Taylor County, KY</t>
  </si>
  <si>
    <t>Todd County, KY</t>
  </si>
  <si>
    <t>Trigg County, KY</t>
  </si>
  <si>
    <t>Trimble County, KY</t>
  </si>
  <si>
    <t>Union County, KY</t>
  </si>
  <si>
    <t>Warren County, KY</t>
  </si>
  <si>
    <t>Washington County, KY</t>
  </si>
  <si>
    <t>Wayne County, KY</t>
  </si>
  <si>
    <t>Webster County, KY</t>
  </si>
  <si>
    <t>Whitley County, KY</t>
  </si>
  <si>
    <t>Wolfe County, KY</t>
  </si>
  <si>
    <t>Woodford County, KY</t>
  </si>
  <si>
    <t>Acadia Parish, LA</t>
  </si>
  <si>
    <t>Allen Parish, LA</t>
  </si>
  <si>
    <t>Ascension Parish, LA</t>
  </si>
  <si>
    <t>Assumption Parish, LA</t>
  </si>
  <si>
    <t>Avoyelles Parish, LA</t>
  </si>
  <si>
    <t>Beauregard Parish, LA</t>
  </si>
  <si>
    <t>Bienville Parish, LA</t>
  </si>
  <si>
    <t>Bossier Parish, LA</t>
  </si>
  <si>
    <t>Caddo Parish, LA</t>
  </si>
  <si>
    <t>Calcasieu Parish, LA</t>
  </si>
  <si>
    <t>Caldwell Parish, LA</t>
  </si>
  <si>
    <t>Cameron Parish, LA</t>
  </si>
  <si>
    <t>Catahoula Parish, LA</t>
  </si>
  <si>
    <t>Claiborne Parish, LA</t>
  </si>
  <si>
    <t>Concordia Parish, LA</t>
  </si>
  <si>
    <t>De Soto Parish, LA</t>
  </si>
  <si>
    <t>East Baton Rouge Parish, LA</t>
  </si>
  <si>
    <t>East Carroll Parish, LA</t>
  </si>
  <si>
    <t>East Feliciana Parish, LA</t>
  </si>
  <si>
    <t>Evangeline Parish, LA</t>
  </si>
  <si>
    <t>Franklin Parish, LA</t>
  </si>
  <si>
    <t>Grant Parish, LA</t>
  </si>
  <si>
    <t>Iberia Parish, LA</t>
  </si>
  <si>
    <t>Iberville Parish, LA</t>
  </si>
  <si>
    <t>Jackson Parish, LA</t>
  </si>
  <si>
    <t>Jefferson Davis Parish, LA</t>
  </si>
  <si>
    <t>Jefferson Parish, LA</t>
  </si>
  <si>
    <t>La Salle Parish, LA</t>
  </si>
  <si>
    <t>Lafayette Parish, LA</t>
  </si>
  <si>
    <t>Lafourche Parish, LA</t>
  </si>
  <si>
    <t>Lincoln Parish, LA</t>
  </si>
  <si>
    <t>Livingston Parish, LA</t>
  </si>
  <si>
    <t>Madison Parish, LA</t>
  </si>
  <si>
    <t>Morehouse Parish, LA</t>
  </si>
  <si>
    <t>Natchitoches Parish, LA</t>
  </si>
  <si>
    <t>Orleans Parish, LA</t>
  </si>
  <si>
    <t>Ouachita Parish, LA</t>
  </si>
  <si>
    <t>Plaquemines Parish, LA</t>
  </si>
  <si>
    <t>Pointe Coupee Parish, LA</t>
  </si>
  <si>
    <t>Rapides Parish, LA</t>
  </si>
  <si>
    <t>Red River Parish, LA</t>
  </si>
  <si>
    <t>Richland Parish, LA</t>
  </si>
  <si>
    <t>Sabine Parish, LA</t>
  </si>
  <si>
    <t>St. Bernard Parish, LA</t>
  </si>
  <si>
    <t>St. Charles Parish, LA</t>
  </si>
  <si>
    <t>St. Helena Parish, LA</t>
  </si>
  <si>
    <t>St. James Parish, LA</t>
  </si>
  <si>
    <t>St. John the Baptist Parish, LA</t>
  </si>
  <si>
    <t>St. Landry Parish, LA</t>
  </si>
  <si>
    <t>St. Martin Parish, LA</t>
  </si>
  <si>
    <t>St. Mary Parish, LA</t>
  </si>
  <si>
    <t>St. Tammany Parish, LA</t>
  </si>
  <si>
    <t>Tangipahoa Parish, LA</t>
  </si>
  <si>
    <t>Tensas Parish, LA</t>
  </si>
  <si>
    <t>Terrebonne Parish, LA</t>
  </si>
  <si>
    <t>Union Parish, LA</t>
  </si>
  <si>
    <t>Vermilion Parish, LA</t>
  </si>
  <si>
    <t>Vernon Parish, LA</t>
  </si>
  <si>
    <t>Washington Parish, LA</t>
  </si>
  <si>
    <t>Webster Parish, LA</t>
  </si>
  <si>
    <t>West Baton Rouge Parish, LA</t>
  </si>
  <si>
    <t>West Carroll Parish, LA</t>
  </si>
  <si>
    <t>West Feliciana Parish, LA</t>
  </si>
  <si>
    <t>Winn Parish, LA</t>
  </si>
  <si>
    <t>Androscoggin County, ME</t>
  </si>
  <si>
    <t>Aroostook County, ME</t>
  </si>
  <si>
    <t>Cumberland County, ME</t>
  </si>
  <si>
    <t>Franklin County, ME</t>
  </si>
  <si>
    <t>Hancock County, ME</t>
  </si>
  <si>
    <t>Kennebec County, ME</t>
  </si>
  <si>
    <t>Knox County, ME</t>
  </si>
  <si>
    <t>Lincoln County, ME</t>
  </si>
  <si>
    <t>Oxford County, ME</t>
  </si>
  <si>
    <t>Penobscot County, ME</t>
  </si>
  <si>
    <t>Piscataquis County, ME</t>
  </si>
  <si>
    <t>Sagadahoc County, ME</t>
  </si>
  <si>
    <t>Somerset County, ME</t>
  </si>
  <si>
    <t>Waldo County, ME</t>
  </si>
  <si>
    <t>Washington County, ME</t>
  </si>
  <si>
    <t>York County, ME</t>
  </si>
  <si>
    <t>Allegany County, MD</t>
  </si>
  <si>
    <t>Anne Arundel County, MD</t>
  </si>
  <si>
    <t>Baltimore City, MD</t>
  </si>
  <si>
    <t>Baltimore County, MD</t>
  </si>
  <si>
    <t>Calvert County, MD</t>
  </si>
  <si>
    <t>Caroline County, MD</t>
  </si>
  <si>
    <t>Carroll County, MD</t>
  </si>
  <si>
    <t>Cecil County, MD</t>
  </si>
  <si>
    <t>Charles County, MD</t>
  </si>
  <si>
    <t>Dorchester County, MD</t>
  </si>
  <si>
    <t>Frederick County, MD</t>
  </si>
  <si>
    <t>Garrett County, MD</t>
  </si>
  <si>
    <t>Harford County, MD</t>
  </si>
  <si>
    <t>Howard County, MD</t>
  </si>
  <si>
    <t>Kent County, MD</t>
  </si>
  <si>
    <t>Montgomery County, MD</t>
  </si>
  <si>
    <t>Prince George's County, MD</t>
  </si>
  <si>
    <t>Queen Anne's County, MD</t>
  </si>
  <si>
    <t>Somerset County, MD</t>
  </si>
  <si>
    <t>St. Mary's County, MD</t>
  </si>
  <si>
    <t>Talbot County, MD</t>
  </si>
  <si>
    <t>Washington County, MD</t>
  </si>
  <si>
    <t>Wicomico County, MD</t>
  </si>
  <si>
    <t>Worcester County, MD</t>
  </si>
  <si>
    <t>Barnstable County, MA</t>
  </si>
  <si>
    <t>Berkshire County, MA</t>
  </si>
  <si>
    <t>Bristol County, MA</t>
  </si>
  <si>
    <t>Dukes County, MA</t>
  </si>
  <si>
    <t>Essex County, MA</t>
  </si>
  <si>
    <t>Franklin County, MA</t>
  </si>
  <si>
    <t>Hampden County, MA</t>
  </si>
  <si>
    <t>Hampshire County, MA</t>
  </si>
  <si>
    <t>Middlesex County, MA</t>
  </si>
  <si>
    <t>Nantucket County, MA</t>
  </si>
  <si>
    <t>Norfolk County, MA</t>
  </si>
  <si>
    <t>Plymouth County, MA</t>
  </si>
  <si>
    <t>Suffolk County, MA</t>
  </si>
  <si>
    <t>Worcester County, MA</t>
  </si>
  <si>
    <t>Alcona County, MI</t>
  </si>
  <si>
    <t>Alger County, MI</t>
  </si>
  <si>
    <t>Allegan County, MI</t>
  </si>
  <si>
    <t>Alpena County, MI</t>
  </si>
  <si>
    <t>Antrim County, MI</t>
  </si>
  <si>
    <t>Arenac County, MI</t>
  </si>
  <si>
    <t>Baraga County, MI</t>
  </si>
  <si>
    <t>Barry County, MI</t>
  </si>
  <si>
    <t>Bay County, MI</t>
  </si>
  <si>
    <t>Benzie County, MI</t>
  </si>
  <si>
    <t>Berrien County, MI</t>
  </si>
  <si>
    <t>Branch County, MI</t>
  </si>
  <si>
    <t>Calhoun County, MI</t>
  </si>
  <si>
    <t>Cass County, MI</t>
  </si>
  <si>
    <t>Charlevoix County, MI</t>
  </si>
  <si>
    <t>Cheboygan County, MI</t>
  </si>
  <si>
    <t>Chippewa County, MI</t>
  </si>
  <si>
    <t>Clare County, MI</t>
  </si>
  <si>
    <t>Clinton County, MI</t>
  </si>
  <si>
    <t>Crawford County, MI</t>
  </si>
  <si>
    <t>Delta County, MI</t>
  </si>
  <si>
    <t>Dickinson County, MI</t>
  </si>
  <si>
    <t>Eaton County, MI</t>
  </si>
  <si>
    <t>Emmet County, MI</t>
  </si>
  <si>
    <t>Genesee County, MI</t>
  </si>
  <si>
    <t>Gladwin County, MI</t>
  </si>
  <si>
    <t>Gogebic County, MI</t>
  </si>
  <si>
    <t>Grand Traverse County, MI</t>
  </si>
  <si>
    <t>Gratiot County, MI</t>
  </si>
  <si>
    <t>Hillsdale County, MI</t>
  </si>
  <si>
    <t>Houghton County, MI</t>
  </si>
  <si>
    <t>Huron County, MI</t>
  </si>
  <si>
    <t>Ingham County, MI</t>
  </si>
  <si>
    <t>Ionia County, MI</t>
  </si>
  <si>
    <t>Iosco County, MI</t>
  </si>
  <si>
    <t>Iron County, MI</t>
  </si>
  <si>
    <t>Isabella County, MI</t>
  </si>
  <si>
    <t>Jackson County, MI</t>
  </si>
  <si>
    <t>Kalamazoo County, MI</t>
  </si>
  <si>
    <t>Kalkaska County, MI</t>
  </si>
  <si>
    <t>Kent County, MI</t>
  </si>
  <si>
    <t>Keweenaw County, MI</t>
  </si>
  <si>
    <t>Lake County, MI</t>
  </si>
  <si>
    <t>Lapeer County, MI</t>
  </si>
  <si>
    <t>Leelanau County, MI</t>
  </si>
  <si>
    <t>Lenawee County, MI</t>
  </si>
  <si>
    <t>Livingston County, MI</t>
  </si>
  <si>
    <t>Luce County, MI</t>
  </si>
  <si>
    <t>Mackinac County, MI</t>
  </si>
  <si>
    <t>Macomb County, MI</t>
  </si>
  <si>
    <t>Manistee County, MI</t>
  </si>
  <si>
    <t>Marquette County, MI</t>
  </si>
  <si>
    <t>Mason County, MI</t>
  </si>
  <si>
    <t>Mecosta County, MI</t>
  </si>
  <si>
    <t>Menominee County, MI</t>
  </si>
  <si>
    <t>Midland County, MI</t>
  </si>
  <si>
    <t>Missaukee County, MI</t>
  </si>
  <si>
    <t>Monroe County, MI</t>
  </si>
  <si>
    <t>Montcalm County, MI</t>
  </si>
  <si>
    <t>Montmorency County, MI</t>
  </si>
  <si>
    <t>Muskegon County, MI</t>
  </si>
  <si>
    <t>Newaygo County, MI</t>
  </si>
  <si>
    <t>Oakland County, MI</t>
  </si>
  <si>
    <t>Oceana County, MI</t>
  </si>
  <si>
    <t>Ogemaw County, MI</t>
  </si>
  <si>
    <t>Ontonagon County, MI</t>
  </si>
  <si>
    <t>Osceola County, MI</t>
  </si>
  <si>
    <t>Oscoda County, MI</t>
  </si>
  <si>
    <t>Otsego County, MI</t>
  </si>
  <si>
    <t>Ottawa County, MI</t>
  </si>
  <si>
    <t>Presque Isle County, MI</t>
  </si>
  <si>
    <t>Roscommon County, MI</t>
  </si>
  <si>
    <t>Saginaw County, MI</t>
  </si>
  <si>
    <t>Sanilac County, MI</t>
  </si>
  <si>
    <t>Schoolcraft County, MI</t>
  </si>
  <si>
    <t>Shiawassee County, MI</t>
  </si>
  <si>
    <t>St. Clair County, MI</t>
  </si>
  <si>
    <t>St. Joseph County, MI</t>
  </si>
  <si>
    <t>Tuscola County, MI</t>
  </si>
  <si>
    <t>Van Buren County, MI</t>
  </si>
  <si>
    <t>Washtenaw County, MI</t>
  </si>
  <si>
    <t>Wayne County, MI</t>
  </si>
  <si>
    <t>Wexford County, MI</t>
  </si>
  <si>
    <t>Aitkin County, MN</t>
  </si>
  <si>
    <t>Anoka County, MN</t>
  </si>
  <si>
    <t>Becker County, MN</t>
  </si>
  <si>
    <t>Beltrami County, MN</t>
  </si>
  <si>
    <t>Benton County, MN</t>
  </si>
  <si>
    <t>Big Stone County, MN</t>
  </si>
  <si>
    <t>Blue Earth County, MN</t>
  </si>
  <si>
    <t>Brown County, MN</t>
  </si>
  <si>
    <t>Carlton County, MN</t>
  </si>
  <si>
    <t>Carver County, MN</t>
  </si>
  <si>
    <t>Cass County, MN</t>
  </si>
  <si>
    <t>Chippewa County, MN</t>
  </si>
  <si>
    <t>Chisago County, MN</t>
  </si>
  <si>
    <t>Clay County, MN</t>
  </si>
  <si>
    <t>Clearwater County, MN</t>
  </si>
  <si>
    <t>Cook County, MN</t>
  </si>
  <si>
    <t>Cottonwood County, MN</t>
  </si>
  <si>
    <t>Crow Wing County, MN</t>
  </si>
  <si>
    <t>Dakota County, MN</t>
  </si>
  <si>
    <t>Dodge County, MN</t>
  </si>
  <si>
    <t>Douglas County, MN</t>
  </si>
  <si>
    <t>Faribault County, MN</t>
  </si>
  <si>
    <t>Fillmore County, MN</t>
  </si>
  <si>
    <t>Freeborn County, MN</t>
  </si>
  <si>
    <t>Goodhue County, MN</t>
  </si>
  <si>
    <t>Grant County, MN</t>
  </si>
  <si>
    <t>Hennepin County, MN</t>
  </si>
  <si>
    <t>Houston County, MN</t>
  </si>
  <si>
    <t>Hubbard County, MN</t>
  </si>
  <si>
    <t>Isanti County, MN</t>
  </si>
  <si>
    <t>Itasca County, MN</t>
  </si>
  <si>
    <t>Jackson County, MN</t>
  </si>
  <si>
    <t>Kanabec County, MN</t>
  </si>
  <si>
    <t>Kandiyohi County, MN</t>
  </si>
  <si>
    <t>Kittson County, MN</t>
  </si>
  <si>
    <t>Koochiching County, MN</t>
  </si>
  <si>
    <t>Lac qui Parle County, MN</t>
  </si>
  <si>
    <t>Lake of the Woods County, MN</t>
  </si>
  <si>
    <t>Lake County, MN</t>
  </si>
  <si>
    <t>Le Sueur County, MN</t>
  </si>
  <si>
    <t>Lincoln County, MN</t>
  </si>
  <si>
    <t>Lyon County, MN</t>
  </si>
  <si>
    <t>Mahnomen County, MN</t>
  </si>
  <si>
    <t>Marshall County, MN</t>
  </si>
  <si>
    <t>Martin County, MN</t>
  </si>
  <si>
    <t>McLeod County, MN</t>
  </si>
  <si>
    <t>Meeker County, MN</t>
  </si>
  <si>
    <t>Mille Lacs County, MN</t>
  </si>
  <si>
    <t>Morrison County, MN</t>
  </si>
  <si>
    <t>Mower County, MN</t>
  </si>
  <si>
    <t>Murray County, MN</t>
  </si>
  <si>
    <t>Nicollet County, MN</t>
  </si>
  <si>
    <t>Nobles County, MN</t>
  </si>
  <si>
    <t>Norman County, MN</t>
  </si>
  <si>
    <t>Olmsted County, MN</t>
  </si>
  <si>
    <t>Otter Tail County, MN</t>
  </si>
  <si>
    <t>Pennington County, MN</t>
  </si>
  <si>
    <t>Pine County, MN</t>
  </si>
  <si>
    <t>Pipestone County, MN</t>
  </si>
  <si>
    <t>Polk County, MN</t>
  </si>
  <si>
    <t>Pope County, MN</t>
  </si>
  <si>
    <t>Ramsey County, MN</t>
  </si>
  <si>
    <t>Red Lake County, MN</t>
  </si>
  <si>
    <t>Redwood County, MN</t>
  </si>
  <si>
    <t>Renville County, MN</t>
  </si>
  <si>
    <t>Rice County, MN</t>
  </si>
  <si>
    <t>Rock County, MN</t>
  </si>
  <si>
    <t>Roseau County, MN</t>
  </si>
  <si>
    <t>Scott County, MN</t>
  </si>
  <si>
    <t>Sherburne County, MN</t>
  </si>
  <si>
    <t>Sibley County, MN</t>
  </si>
  <si>
    <t>St. Louis County, MN</t>
  </si>
  <si>
    <t>Stearns County, MN</t>
  </si>
  <si>
    <t>Steele County, MN</t>
  </si>
  <si>
    <t>Stevens County, MN</t>
  </si>
  <si>
    <t>Swift County, MN</t>
  </si>
  <si>
    <t>Todd County, MN</t>
  </si>
  <si>
    <t>Traverse County, MN</t>
  </si>
  <si>
    <t>Wabasha County, MN</t>
  </si>
  <si>
    <t>Wadena County, MN</t>
  </si>
  <si>
    <t>Waseca County, MN</t>
  </si>
  <si>
    <t>Washington County, MN</t>
  </si>
  <si>
    <t>Watonwan County, MN</t>
  </si>
  <si>
    <t>Wilkin County, MN</t>
  </si>
  <si>
    <t>Winona County, MN</t>
  </si>
  <si>
    <t>Wright County, MN</t>
  </si>
  <si>
    <t>Yellow Medicine County, MN</t>
  </si>
  <si>
    <t>Adams County, MS</t>
  </si>
  <si>
    <t>Alcorn County, MS</t>
  </si>
  <si>
    <t>Amite County, MS</t>
  </si>
  <si>
    <t>Attala County, MS</t>
  </si>
  <si>
    <t>Benton County, MS</t>
  </si>
  <si>
    <t>Bolivar County, MS</t>
  </si>
  <si>
    <t>Calhoun County, MS</t>
  </si>
  <si>
    <t>Carroll County, MS</t>
  </si>
  <si>
    <t>Chickasaw County, MS</t>
  </si>
  <si>
    <t>Choctaw County, MS</t>
  </si>
  <si>
    <t>Claiborne County, MS</t>
  </si>
  <si>
    <t>Clarke County, MS</t>
  </si>
  <si>
    <t>Clay County, MS</t>
  </si>
  <si>
    <t>Coahoma County, MS</t>
  </si>
  <si>
    <t>Copiah County, MS</t>
  </si>
  <si>
    <t>Covington County, MS</t>
  </si>
  <si>
    <t>DeSoto County, MS</t>
  </si>
  <si>
    <t>Forrest County, MS</t>
  </si>
  <si>
    <t>Franklin County, MS</t>
  </si>
  <si>
    <t>George County, MS</t>
  </si>
  <si>
    <t>Greene County, MS</t>
  </si>
  <si>
    <t>Grenada County, MS</t>
  </si>
  <si>
    <t>Hancock County, MS</t>
  </si>
  <si>
    <t>Harrison County, MS</t>
  </si>
  <si>
    <t>Hinds County, MS</t>
  </si>
  <si>
    <t>Holmes County, MS</t>
  </si>
  <si>
    <t>Humphreys County, MS</t>
  </si>
  <si>
    <t>Issaquena County, MS</t>
  </si>
  <si>
    <t>Itawamba County, MS</t>
  </si>
  <si>
    <t>Jackson County, MS</t>
  </si>
  <si>
    <t>Jasper County, MS</t>
  </si>
  <si>
    <t>Jefferson County, MS</t>
  </si>
  <si>
    <t>Jefferson Davis County, MS</t>
  </si>
  <si>
    <t>Jones County, MS</t>
  </si>
  <si>
    <t>Kemper County, MS</t>
  </si>
  <si>
    <t>Lafayette County, MS</t>
  </si>
  <si>
    <t>Lamar County, MS</t>
  </si>
  <si>
    <t>Lauderdale County, MS</t>
  </si>
  <si>
    <t>Lawrence County, MS</t>
  </si>
  <si>
    <t>Leake County, MS</t>
  </si>
  <si>
    <t>Lee County, MS</t>
  </si>
  <si>
    <t>Leflore County, MS</t>
  </si>
  <si>
    <t>Lincoln County, MS</t>
  </si>
  <si>
    <t>Lowndes County, MS</t>
  </si>
  <si>
    <t>Madison County, MS</t>
  </si>
  <si>
    <t>Marion County, MS</t>
  </si>
  <si>
    <t>Marshall County, MS</t>
  </si>
  <si>
    <t>Monroe County, MS</t>
  </si>
  <si>
    <t>Montgomery County, MS</t>
  </si>
  <si>
    <t>Neshoba County, MS</t>
  </si>
  <si>
    <t>Newton County, MS</t>
  </si>
  <si>
    <t>Noxubee County, MS</t>
  </si>
  <si>
    <t>Oktibbeha County, MS</t>
  </si>
  <si>
    <t>Panola County, MS</t>
  </si>
  <si>
    <t>Pearl River County, MS</t>
  </si>
  <si>
    <t>Perry County, MS</t>
  </si>
  <si>
    <t>Pike County, MS</t>
  </si>
  <si>
    <t>Pontotoc County, MS</t>
  </si>
  <si>
    <t>Prentiss County, MS</t>
  </si>
  <si>
    <t>Quitman County, MS</t>
  </si>
  <si>
    <t>Rankin County, MS</t>
  </si>
  <si>
    <t>Scott County, MS</t>
  </si>
  <si>
    <t>Sharkey County, MS</t>
  </si>
  <si>
    <t>Simpson County, MS</t>
  </si>
  <si>
    <t>Smith County, MS</t>
  </si>
  <si>
    <t>Stone County, MS</t>
  </si>
  <si>
    <t>Sunflower County, MS</t>
  </si>
  <si>
    <t>Tallahatchie County, MS</t>
  </si>
  <si>
    <t>Tate County, MS</t>
  </si>
  <si>
    <t>Tippah County, MS</t>
  </si>
  <si>
    <t>Tishomingo County, MS</t>
  </si>
  <si>
    <t>Tunica County, MS</t>
  </si>
  <si>
    <t>Union County, MS</t>
  </si>
  <si>
    <t>Walthall County, MS</t>
  </si>
  <si>
    <t>Warren County, MS</t>
  </si>
  <si>
    <t>Washington County, MS</t>
  </si>
  <si>
    <t>Wayne County, MS</t>
  </si>
  <si>
    <t>Webster County, MS</t>
  </si>
  <si>
    <t>Wilkinson County, MS</t>
  </si>
  <si>
    <t>Winston County, MS</t>
  </si>
  <si>
    <t>Yalobusha County, MS</t>
  </si>
  <si>
    <t>Yazoo County, MS</t>
  </si>
  <si>
    <t>Adair County, MO</t>
  </si>
  <si>
    <t>Andrew County, MO</t>
  </si>
  <si>
    <t>Atchison County, MO</t>
  </si>
  <si>
    <t>Audrain County, MO</t>
  </si>
  <si>
    <t>Barry County, MO</t>
  </si>
  <si>
    <t>Barton County, MO</t>
  </si>
  <si>
    <t>Bates County, MO</t>
  </si>
  <si>
    <t>Benton County, MO</t>
  </si>
  <si>
    <t>Bollinger County, MO</t>
  </si>
  <si>
    <t>Boone County, MO</t>
  </si>
  <si>
    <t>Buchanan County, MO</t>
  </si>
  <si>
    <t>Butler County, MO</t>
  </si>
  <si>
    <t>Caldwell County, MO</t>
  </si>
  <si>
    <t>Callaway County, MO</t>
  </si>
  <si>
    <t>Camden County, MO</t>
  </si>
  <si>
    <t>Cape Girardeau County, MO</t>
  </si>
  <si>
    <t>Carroll County, MO</t>
  </si>
  <si>
    <t>Carter County, MO</t>
  </si>
  <si>
    <t>Cass County, MO</t>
  </si>
  <si>
    <t>Cedar County, MO</t>
  </si>
  <si>
    <t>Chariton County, MO</t>
  </si>
  <si>
    <t>Christian County, MO</t>
  </si>
  <si>
    <t>Clark County, MO</t>
  </si>
  <si>
    <t>Clay County, MO</t>
  </si>
  <si>
    <t>Clinton County, MO</t>
  </si>
  <si>
    <t>Cole County, MO</t>
  </si>
  <si>
    <t>Cooper County, MO</t>
  </si>
  <si>
    <t>Crawford County, MO</t>
  </si>
  <si>
    <t>Dade County, MO</t>
  </si>
  <si>
    <t>Dallas County, MO</t>
  </si>
  <si>
    <t>Daviess County, MO</t>
  </si>
  <si>
    <t>Dent County, MO</t>
  </si>
  <si>
    <t>DeKalb County, MO</t>
  </si>
  <si>
    <t>Douglas County, MO</t>
  </si>
  <si>
    <t>Dunklin County, MO</t>
  </si>
  <si>
    <t>Franklin County, MO</t>
  </si>
  <si>
    <t>Gasconade County, MO</t>
  </si>
  <si>
    <t>Gentry County, MO</t>
  </si>
  <si>
    <t>Greene County, MO</t>
  </si>
  <si>
    <t>Grundy County, MO</t>
  </si>
  <si>
    <t>Harrison County, MO</t>
  </si>
  <si>
    <t>Henry County, MO</t>
  </si>
  <si>
    <t>Hickory County, MO</t>
  </si>
  <si>
    <t>Holt County, MO</t>
  </si>
  <si>
    <t>Howard County, MO</t>
  </si>
  <si>
    <t>Howell County, MO</t>
  </si>
  <si>
    <t>Iron County, MO</t>
  </si>
  <si>
    <t>Jackson County, MO</t>
  </si>
  <si>
    <t>Jasper County, MO</t>
  </si>
  <si>
    <t>Jefferson County, MO</t>
  </si>
  <si>
    <t>Johnson County, MO</t>
  </si>
  <si>
    <t>Knox County, MO</t>
  </si>
  <si>
    <t>Laclede County, MO</t>
  </si>
  <si>
    <t>Lafayette County, MO</t>
  </si>
  <si>
    <t>Lawrence County, MO</t>
  </si>
  <si>
    <t>Lewis County, MO</t>
  </si>
  <si>
    <t>Lincoln County, MO</t>
  </si>
  <si>
    <t>Linn County, MO</t>
  </si>
  <si>
    <t>Livingston County, MO</t>
  </si>
  <si>
    <t>Macon County, MO</t>
  </si>
  <si>
    <t>Madison County, MO</t>
  </si>
  <si>
    <t>Maries County, MO</t>
  </si>
  <si>
    <t>Marion County, MO</t>
  </si>
  <si>
    <t>McDonald County, MO</t>
  </si>
  <si>
    <t>Mercer County, MO</t>
  </si>
  <si>
    <t>Miller County, MO</t>
  </si>
  <si>
    <t>Mississippi County, MO</t>
  </si>
  <si>
    <t>Moniteau County, MO</t>
  </si>
  <si>
    <t>Monroe County, MO</t>
  </si>
  <si>
    <t>Montgomery County, MO</t>
  </si>
  <si>
    <t>Morgan County, MO</t>
  </si>
  <si>
    <t>New Madrid County, MO</t>
  </si>
  <si>
    <t>Newton County, MO</t>
  </si>
  <si>
    <t>Nodaway County, MO</t>
  </si>
  <si>
    <t>Oregon County, MO</t>
  </si>
  <si>
    <t>Osage County, MO</t>
  </si>
  <si>
    <t>Ozark County, MO</t>
  </si>
  <si>
    <t>Pemiscot County, MO</t>
  </si>
  <si>
    <t>Perry County, MO</t>
  </si>
  <si>
    <t>Pettis County, MO</t>
  </si>
  <si>
    <t>Phelps County, MO</t>
  </si>
  <si>
    <t>Pike County, MO</t>
  </si>
  <si>
    <t>Platte County, MO</t>
  </si>
  <si>
    <t>Polk County, MO</t>
  </si>
  <si>
    <t>Pulaski County, MO</t>
  </si>
  <si>
    <t>Putnam County, MO</t>
  </si>
  <si>
    <t>Ralls County, MO</t>
  </si>
  <si>
    <t>Randolph County, MO</t>
  </si>
  <si>
    <t>Ray County, MO</t>
  </si>
  <si>
    <t>Reynolds County, MO</t>
  </si>
  <si>
    <t>Ripley County, MO</t>
  </si>
  <si>
    <t>Saline County, MO</t>
  </si>
  <si>
    <t>Schuyler County, MO</t>
  </si>
  <si>
    <t>Scotland County, MO</t>
  </si>
  <si>
    <t>Scott County, MO</t>
  </si>
  <si>
    <t>Shannon County, MO</t>
  </si>
  <si>
    <t>Shelby County, MO</t>
  </si>
  <si>
    <t>St. Charles County, MO</t>
  </si>
  <si>
    <t>St. Clair County, MO</t>
  </si>
  <si>
    <t>St. Francois County, MO</t>
  </si>
  <si>
    <t>St. Louis city, MO</t>
  </si>
  <si>
    <t>St. Louis County, MO</t>
  </si>
  <si>
    <t>Ste. Genevieve County, MO</t>
  </si>
  <si>
    <t>Stoddard County, MO</t>
  </si>
  <si>
    <t>Stone County, MO</t>
  </si>
  <si>
    <t>Sullivan County, MO</t>
  </si>
  <si>
    <t>Taney County, MO</t>
  </si>
  <si>
    <t>Texas County, MO</t>
  </si>
  <si>
    <t>Vernon County, MO</t>
  </si>
  <si>
    <t>Warren County, MO</t>
  </si>
  <si>
    <t>Washington County, MO</t>
  </si>
  <si>
    <t>Wayne County, MO</t>
  </si>
  <si>
    <t>Webster County, MO</t>
  </si>
  <si>
    <t>Worth County, MO</t>
  </si>
  <si>
    <t>Wright County, MO</t>
  </si>
  <si>
    <t>Beaverhead County, MT</t>
  </si>
  <si>
    <t>Big Horn County, MT</t>
  </si>
  <si>
    <t>Blaine County, MT</t>
  </si>
  <si>
    <t>Broadwater County, MT</t>
  </si>
  <si>
    <t>Carbon County, MT</t>
  </si>
  <si>
    <t>Carter County, MT</t>
  </si>
  <si>
    <t>Cascade County, MT</t>
  </si>
  <si>
    <t>Chouteau County, MT</t>
  </si>
  <si>
    <t>Custer County, MT</t>
  </si>
  <si>
    <t>Daniels County, MT</t>
  </si>
  <si>
    <t>Dawson County, MT</t>
  </si>
  <si>
    <t>Deer Lodge County, MT</t>
  </si>
  <si>
    <t>Fallon County, MT</t>
  </si>
  <si>
    <t>Fergus County, MT</t>
  </si>
  <si>
    <t>Flathead County, MT</t>
  </si>
  <si>
    <t>Gallatin County, MT</t>
  </si>
  <si>
    <t>Garfield County, MT</t>
  </si>
  <si>
    <t>Glacier County, MT</t>
  </si>
  <si>
    <t>Golden Valley County, MT</t>
  </si>
  <si>
    <t>Granite County, MT</t>
  </si>
  <si>
    <t>Hill County, MT</t>
  </si>
  <si>
    <t>Jefferson County, MT</t>
  </si>
  <si>
    <t>Judith Basin County, MT</t>
  </si>
  <si>
    <t>Lake County, MT</t>
  </si>
  <si>
    <t>Lewis and Clark County, MT</t>
  </si>
  <si>
    <t>Liberty County, MT</t>
  </si>
  <si>
    <t>Lincoln County, MT</t>
  </si>
  <si>
    <t>Madison County, MT</t>
  </si>
  <si>
    <t>McCone County, MT</t>
  </si>
  <si>
    <t>Meagher County, MT</t>
  </si>
  <si>
    <t>Mineral County, MT</t>
  </si>
  <si>
    <t>Missoula County, MT</t>
  </si>
  <si>
    <t>Musselshell County, MT</t>
  </si>
  <si>
    <t>Park County, MT</t>
  </si>
  <si>
    <t>Petroleum County, MT</t>
  </si>
  <si>
    <t>Phillips County, MT</t>
  </si>
  <si>
    <t>Pondera County, MT</t>
  </si>
  <si>
    <t>Powder River County, MT</t>
  </si>
  <si>
    <t>Powell County, MT</t>
  </si>
  <si>
    <t>Prairie County, MT</t>
  </si>
  <si>
    <t>Ravalli County, MT</t>
  </si>
  <si>
    <t>Richland County, MT</t>
  </si>
  <si>
    <t>Roosevelt County, MT</t>
  </si>
  <si>
    <t>Rosebud County, MT</t>
  </si>
  <si>
    <t>Sanders County, MT</t>
  </si>
  <si>
    <t>Sheridan County, MT</t>
  </si>
  <si>
    <t>Silver Bow County, MT</t>
  </si>
  <si>
    <t>Stillwater County, MT</t>
  </si>
  <si>
    <t>Sweet Grass County, MT</t>
  </si>
  <si>
    <t>Teton County, MT</t>
  </si>
  <si>
    <t>Toole County, MT</t>
  </si>
  <si>
    <t>Treasure County, MT</t>
  </si>
  <si>
    <t>Valley County, MT</t>
  </si>
  <si>
    <t>Wheatland County, MT</t>
  </si>
  <si>
    <t>Wibaux County, MT</t>
  </si>
  <si>
    <t>Yellowstone County, MT</t>
  </si>
  <si>
    <t>Adams County, NE</t>
  </si>
  <si>
    <t>Antelope County, NE</t>
  </si>
  <si>
    <t>Arthur County, NE</t>
  </si>
  <si>
    <t>Banner County, NE</t>
  </si>
  <si>
    <t>Blaine County, NE</t>
  </si>
  <si>
    <t>Boone County, NE</t>
  </si>
  <si>
    <t>Box Butte County, NE</t>
  </si>
  <si>
    <t>Boyd County, NE</t>
  </si>
  <si>
    <t>Brown County, NE</t>
  </si>
  <si>
    <t>Buffalo County, NE</t>
  </si>
  <si>
    <t>Burt County, NE</t>
  </si>
  <si>
    <t>Butler County, NE</t>
  </si>
  <si>
    <t>Cass County, NE</t>
  </si>
  <si>
    <t>Cedar County, NE</t>
  </si>
  <si>
    <t>Chase County, NE</t>
  </si>
  <si>
    <t>Cherry County, NE</t>
  </si>
  <si>
    <t>Cheyenne County, NE</t>
  </si>
  <si>
    <t>Clay County, NE</t>
  </si>
  <si>
    <t>Colfax County, NE</t>
  </si>
  <si>
    <t>Cuming County, NE</t>
  </si>
  <si>
    <t>Custer County, NE</t>
  </si>
  <si>
    <t>Dakota County, NE</t>
  </si>
  <si>
    <t>Dawes County, NE</t>
  </si>
  <si>
    <t>Dawson County, NE</t>
  </si>
  <si>
    <t>Deuel County, NE</t>
  </si>
  <si>
    <t>Dixon County, NE</t>
  </si>
  <si>
    <t>Dodge County, NE</t>
  </si>
  <si>
    <t>Douglas County, NE</t>
  </si>
  <si>
    <t>Dundy County, NE</t>
  </si>
  <si>
    <t>Fillmore County, NE</t>
  </si>
  <si>
    <t>Franklin County, NE</t>
  </si>
  <si>
    <t>Frontier County, NE</t>
  </si>
  <si>
    <t>Furnas County, NE</t>
  </si>
  <si>
    <t>Gage County, NE</t>
  </si>
  <si>
    <t>Garden County, NE</t>
  </si>
  <si>
    <t>Garfield County, NE</t>
  </si>
  <si>
    <t>Gosper County, NE</t>
  </si>
  <si>
    <t>Grant County, NE</t>
  </si>
  <si>
    <t>Greeley County, NE</t>
  </si>
  <si>
    <t>Hall County, NE</t>
  </si>
  <si>
    <t>Hamilton County, NE</t>
  </si>
  <si>
    <t>Harlan County, NE</t>
  </si>
  <si>
    <t>Hayes County, NE</t>
  </si>
  <si>
    <t>Hitchcock County, NE</t>
  </si>
  <si>
    <t>Holt County, NE</t>
  </si>
  <si>
    <t>Hooker County, NE</t>
  </si>
  <si>
    <t>Howard County, NE</t>
  </si>
  <si>
    <t>Jefferson County, NE</t>
  </si>
  <si>
    <t>Johnson County, NE</t>
  </si>
  <si>
    <t>Kearney County, NE</t>
  </si>
  <si>
    <t>Keith County, NE</t>
  </si>
  <si>
    <t>Keya Paha County, NE</t>
  </si>
  <si>
    <t>Kimball County, NE</t>
  </si>
  <si>
    <t>Knox County, NE</t>
  </si>
  <si>
    <t>Lancaster County, NE</t>
  </si>
  <si>
    <t>Lincoln County, NE</t>
  </si>
  <si>
    <t>Logan County, NE</t>
  </si>
  <si>
    <t>Loup County, NE</t>
  </si>
  <si>
    <t>Madison County, NE</t>
  </si>
  <si>
    <t>McPherson County, NE</t>
  </si>
  <si>
    <t>Merrick County, NE</t>
  </si>
  <si>
    <t>Morrill County, NE</t>
  </si>
  <si>
    <t>Nance County, NE</t>
  </si>
  <si>
    <t>Nemaha County, NE</t>
  </si>
  <si>
    <t>Nuckolls County, NE</t>
  </si>
  <si>
    <t>Otoe County, NE</t>
  </si>
  <si>
    <t>Pawnee County, NE</t>
  </si>
  <si>
    <t>Perkins County, NE</t>
  </si>
  <si>
    <t>Phelps County, NE</t>
  </si>
  <si>
    <t>Pierce County, NE</t>
  </si>
  <si>
    <t>Platte County, NE</t>
  </si>
  <si>
    <t>Polk County, NE</t>
  </si>
  <si>
    <t>Red Willow County, NE</t>
  </si>
  <si>
    <t>Richardson County, NE</t>
  </si>
  <si>
    <t>Rock County, NE</t>
  </si>
  <si>
    <t>Saline County, NE</t>
  </si>
  <si>
    <t>Sarpy County, NE</t>
  </si>
  <si>
    <t>Saunders County, NE</t>
  </si>
  <si>
    <t>Scotts Bluff County, NE</t>
  </si>
  <si>
    <t>Seward County, NE</t>
  </si>
  <si>
    <t>Sheridan County, NE</t>
  </si>
  <si>
    <t>Sherman County, NE</t>
  </si>
  <si>
    <t>Sioux County, NE</t>
  </si>
  <si>
    <t>Stanton County, NE</t>
  </si>
  <si>
    <t>Thayer County, NE</t>
  </si>
  <si>
    <t>Thomas County, NE</t>
  </si>
  <si>
    <t>Thurston County, NE</t>
  </si>
  <si>
    <t>Valley County, NE</t>
  </si>
  <si>
    <t>Washington County, NE</t>
  </si>
  <si>
    <t>Wayne County, NE</t>
  </si>
  <si>
    <t>Webster County, NE</t>
  </si>
  <si>
    <t>Wheeler County, NE</t>
  </si>
  <si>
    <t>York County, NE</t>
  </si>
  <si>
    <t>Churchill County, NV</t>
  </si>
  <si>
    <t>Clark County, NV</t>
  </si>
  <si>
    <t>Douglas County, NV</t>
  </si>
  <si>
    <t>Elko County, NV</t>
  </si>
  <si>
    <t>Esmeralda County, NV</t>
  </si>
  <si>
    <t>Eureka County, NV</t>
  </si>
  <si>
    <t>Humboldt County, NV</t>
  </si>
  <si>
    <t>Lander County, NV</t>
  </si>
  <si>
    <t>Lincoln County, NV</t>
  </si>
  <si>
    <t>Lyon County, NV</t>
  </si>
  <si>
    <t>Mineral County, NV</t>
  </si>
  <si>
    <t>Nye County, NV</t>
  </si>
  <si>
    <t>Pershing County, NV</t>
  </si>
  <si>
    <t>Storey County, NV</t>
  </si>
  <si>
    <t>Washoe County, NV</t>
  </si>
  <si>
    <t>White Pine County, NV</t>
  </si>
  <si>
    <t>Belknap County, NH</t>
  </si>
  <si>
    <t>Carroll County, NH</t>
  </si>
  <si>
    <t>Cheshire County, NH</t>
  </si>
  <si>
    <t>Coos County, NH</t>
  </si>
  <si>
    <t>Grafton County, NH</t>
  </si>
  <si>
    <t>Hillsboro County, NH</t>
  </si>
  <si>
    <t>Merrimack County, NH</t>
  </si>
  <si>
    <t>Rockingham County, NH</t>
  </si>
  <si>
    <t>Strafford County, NH</t>
  </si>
  <si>
    <t>Sullivan County, NH</t>
  </si>
  <si>
    <t>Atlantic County, NJ</t>
  </si>
  <si>
    <t>Bergen County, NJ</t>
  </si>
  <si>
    <t>Burlington County, NJ</t>
  </si>
  <si>
    <t>Camden County, NJ</t>
  </si>
  <si>
    <t>Cape May County, NJ</t>
  </si>
  <si>
    <t>Cumberland County, NJ</t>
  </si>
  <si>
    <t>Essex County, NJ</t>
  </si>
  <si>
    <t>Gloucester County, NJ</t>
  </si>
  <si>
    <t>Hudson County, NJ</t>
  </si>
  <si>
    <t>Hunterdon County, NJ</t>
  </si>
  <si>
    <t>Mercer County, NJ</t>
  </si>
  <si>
    <t>Middlesex County, NJ</t>
  </si>
  <si>
    <t>Monmouth County, NJ</t>
  </si>
  <si>
    <t>Morris County, NJ</t>
  </si>
  <si>
    <t>Ocean County, NJ</t>
  </si>
  <si>
    <t>Passaic County, NJ</t>
  </si>
  <si>
    <t>Salem County, NJ</t>
  </si>
  <si>
    <t>Somerset County, NJ</t>
  </si>
  <si>
    <t>Sussex County, NJ</t>
  </si>
  <si>
    <t>Union County, NJ</t>
  </si>
  <si>
    <t>Warren County, NJ</t>
  </si>
  <si>
    <t>Bernalillo County, NM</t>
  </si>
  <si>
    <t>Catron County, NM</t>
  </si>
  <si>
    <t>Chaves County, NM</t>
  </si>
  <si>
    <t>Cibola County, NM</t>
  </si>
  <si>
    <t>Colfax County, NM</t>
  </si>
  <si>
    <t>Curry County, NM</t>
  </si>
  <si>
    <t>DeBaca County, NM</t>
  </si>
  <si>
    <t>Dona Ana County, NM</t>
  </si>
  <si>
    <t>Eddy County, NM</t>
  </si>
  <si>
    <t>Grant County, NM</t>
  </si>
  <si>
    <t>Guadalupe County, NM</t>
  </si>
  <si>
    <t>Harding County, NM</t>
  </si>
  <si>
    <t>Hidalgo County, NM</t>
  </si>
  <si>
    <t>Lea County, NM</t>
  </si>
  <si>
    <t>Lincoln County, NM</t>
  </si>
  <si>
    <t>Los Alamos County, NM</t>
  </si>
  <si>
    <t>Luna County, NM</t>
  </si>
  <si>
    <t>McKinley County, NM</t>
  </si>
  <si>
    <t>Mora County, NM</t>
  </si>
  <si>
    <t>Otero County, NM</t>
  </si>
  <si>
    <t>Quay County, NM</t>
  </si>
  <si>
    <t>Rio Arriba County, NM</t>
  </si>
  <si>
    <t>Roosevelt County, NM</t>
  </si>
  <si>
    <t>San Juan County, NM</t>
  </si>
  <si>
    <t>San Miguel County, NM</t>
  </si>
  <si>
    <t>Sandoval County, NM</t>
  </si>
  <si>
    <t>Santa Fe County, NM</t>
  </si>
  <si>
    <t>Sierra County, NM</t>
  </si>
  <si>
    <t>Socorro County, NM</t>
  </si>
  <si>
    <t>Taos County, NM</t>
  </si>
  <si>
    <t>Torrance County, NM</t>
  </si>
  <si>
    <t>Union County, NM</t>
  </si>
  <si>
    <t>Valencia County, NM</t>
  </si>
  <si>
    <t>Albany County, NY</t>
  </si>
  <si>
    <t>Allegany County, NY</t>
  </si>
  <si>
    <t>Bronx County, NY</t>
  </si>
  <si>
    <t>Broome County, NY</t>
  </si>
  <si>
    <t>Cattaraugus County, NY</t>
  </si>
  <si>
    <t>Cayuga County, NY</t>
  </si>
  <si>
    <t>Chautauqua County, NY</t>
  </si>
  <si>
    <t>Chemung County, NY</t>
  </si>
  <si>
    <t>Chenango County, NY</t>
  </si>
  <si>
    <t>Clinton County, NY</t>
  </si>
  <si>
    <t>Columbia County, NY</t>
  </si>
  <si>
    <t>Cortland County, NY</t>
  </si>
  <si>
    <t>Delaware County, NY</t>
  </si>
  <si>
    <t>Dutchess County, NY</t>
  </si>
  <si>
    <t>Erie County, NY</t>
  </si>
  <si>
    <t>Essex County, NY</t>
  </si>
  <si>
    <t>Franklin County, NY</t>
  </si>
  <si>
    <t>Fulton County, NY</t>
  </si>
  <si>
    <t>Genesee County, NY</t>
  </si>
  <si>
    <t>Greene County, NY</t>
  </si>
  <si>
    <t>Hamilton County, NY</t>
  </si>
  <si>
    <t>Herkimer County, NY</t>
  </si>
  <si>
    <t>Jefferson County, NY</t>
  </si>
  <si>
    <t>Kings County, NY</t>
  </si>
  <si>
    <t>Lewis County, NY</t>
  </si>
  <si>
    <t>Livingston County, NY</t>
  </si>
  <si>
    <t>Madison County, NY</t>
  </si>
  <si>
    <t>Monroe County, NY</t>
  </si>
  <si>
    <t>Montgomery County, NY</t>
  </si>
  <si>
    <t>Nassau County, NY</t>
  </si>
  <si>
    <t>New York County, NY</t>
  </si>
  <si>
    <t>Niagara County, NY</t>
  </si>
  <si>
    <t>Oneida County, NY</t>
  </si>
  <si>
    <t>Onondaga County, NY</t>
  </si>
  <si>
    <t>Ontario County, NY</t>
  </si>
  <si>
    <t>Orange County, NY</t>
  </si>
  <si>
    <t>Orleans County, NY</t>
  </si>
  <si>
    <t>Oswego County, NY</t>
  </si>
  <si>
    <t>Otsego County, NY</t>
  </si>
  <si>
    <t>Putnam County, NY</t>
  </si>
  <si>
    <t>Queens County, NY</t>
  </si>
  <si>
    <t>Rensselaer County, NY</t>
  </si>
  <si>
    <t>Richmond County, NY</t>
  </si>
  <si>
    <t>Rockland County, NY</t>
  </si>
  <si>
    <t>Saratoga County, NY</t>
  </si>
  <si>
    <t>Schenectady County, NY</t>
  </si>
  <si>
    <t>Schoharie County, NY</t>
  </si>
  <si>
    <t>Schuyler County, NY</t>
  </si>
  <si>
    <t>Seneca County, NY</t>
  </si>
  <si>
    <t>St. Lawrence County, NY</t>
  </si>
  <si>
    <t>Steuben County, NY</t>
  </si>
  <si>
    <t>Suffolk County, NY</t>
  </si>
  <si>
    <t>Sullivan County, NY</t>
  </si>
  <si>
    <t>Tioga County, NY</t>
  </si>
  <si>
    <t>Tompkins County, NY</t>
  </si>
  <si>
    <t>Ulster County, NY</t>
  </si>
  <si>
    <t>Warren County, NY</t>
  </si>
  <si>
    <t>Washington County, NY</t>
  </si>
  <si>
    <t>Wayne County, NY</t>
  </si>
  <si>
    <t>Westchester County, NY</t>
  </si>
  <si>
    <t>Wyoming County, NY</t>
  </si>
  <si>
    <t>Yates County, NY</t>
  </si>
  <si>
    <t>Alamance County, NC</t>
  </si>
  <si>
    <t>Alexander County, NC</t>
  </si>
  <si>
    <t>Alleghany County, NC</t>
  </si>
  <si>
    <t>Anson County, NC</t>
  </si>
  <si>
    <t>Ashe County, NC</t>
  </si>
  <si>
    <t>Avery County, NC</t>
  </si>
  <si>
    <t>Beaufort County, NC</t>
  </si>
  <si>
    <t>Bertie County, NC</t>
  </si>
  <si>
    <t>Bladen County, NC</t>
  </si>
  <si>
    <t>Brunswick County, NC</t>
  </si>
  <si>
    <t>Buncombe County, NC</t>
  </si>
  <si>
    <t>Burke County, NC</t>
  </si>
  <si>
    <t>Cabarrus County, NC</t>
  </si>
  <si>
    <t>Caldwell County, NC</t>
  </si>
  <si>
    <t>Camden County, NC</t>
  </si>
  <si>
    <t>Carteret County, NC</t>
  </si>
  <si>
    <t>Caswell County, NC</t>
  </si>
  <si>
    <t>Catawba County, NC</t>
  </si>
  <si>
    <t>Chatham County, NC</t>
  </si>
  <si>
    <t>Cherokee County, NC</t>
  </si>
  <si>
    <t>Chowan County, NC</t>
  </si>
  <si>
    <t>Clay County, NC</t>
  </si>
  <si>
    <t>Cleveland County, NC</t>
  </si>
  <si>
    <t>Columbus County, NC</t>
  </si>
  <si>
    <t>Craven County, NC</t>
  </si>
  <si>
    <t>Cumberland County, NC</t>
  </si>
  <si>
    <t>Currituck County, NC</t>
  </si>
  <si>
    <t>Dare County, NC</t>
  </si>
  <si>
    <t>Davidson County, NC</t>
  </si>
  <si>
    <t>Davie County, NC</t>
  </si>
  <si>
    <t>Duplin County, NC</t>
  </si>
  <si>
    <t>Durham County, NC</t>
  </si>
  <si>
    <t>Edgecombe County, NC</t>
  </si>
  <si>
    <t>Forsyth County, NC</t>
  </si>
  <si>
    <t>Franklin County, NC</t>
  </si>
  <si>
    <t>Gaston County, NC</t>
  </si>
  <si>
    <t>Gates County, NC</t>
  </si>
  <si>
    <t>Graham County, NC</t>
  </si>
  <si>
    <t>Granville County, NC</t>
  </si>
  <si>
    <t>Greene County, NC</t>
  </si>
  <si>
    <t>Guilford County, NC</t>
  </si>
  <si>
    <t>Halifax County, NC</t>
  </si>
  <si>
    <t>Harnett County, NC</t>
  </si>
  <si>
    <t>Haywood County, NC</t>
  </si>
  <si>
    <t>Henderson County, NC</t>
  </si>
  <si>
    <t>Hertford County, NC</t>
  </si>
  <si>
    <t>Hoke County, NC</t>
  </si>
  <si>
    <t>Hyde County, NC</t>
  </si>
  <si>
    <t>Iredell County, NC</t>
  </si>
  <si>
    <t>Jackson County, NC</t>
  </si>
  <si>
    <t>Johnston County, NC</t>
  </si>
  <si>
    <t>Jones County, NC</t>
  </si>
  <si>
    <t>Lee County, NC</t>
  </si>
  <si>
    <t>Lenoir County, NC</t>
  </si>
  <si>
    <t>Lincoln County, NC</t>
  </si>
  <si>
    <t>Macon County, NC</t>
  </si>
  <si>
    <t>Madison County, NC</t>
  </si>
  <si>
    <t>Martin County, NC</t>
  </si>
  <si>
    <t>McDowell County, NC</t>
  </si>
  <si>
    <t>Mecklenburg County, NC</t>
  </si>
  <si>
    <t>Mitchell County, NC</t>
  </si>
  <si>
    <t>Montgomery County, NC</t>
  </si>
  <si>
    <t>Moore County, NC</t>
  </si>
  <si>
    <t>Nash County, NC</t>
  </si>
  <si>
    <t>New Hanover County, NC</t>
  </si>
  <si>
    <t>Northampton County, NC</t>
  </si>
  <si>
    <t>Onslow County, NC</t>
  </si>
  <si>
    <t>Orange County, NC</t>
  </si>
  <si>
    <t>Pamlico County, NC</t>
  </si>
  <si>
    <t>Pasquotank County, NC</t>
  </si>
  <si>
    <t>Pender County, NC</t>
  </si>
  <si>
    <t>Perquimans County, NC</t>
  </si>
  <si>
    <t>Person County, NC</t>
  </si>
  <si>
    <t>Pitt County, NC</t>
  </si>
  <si>
    <t>Polk County, NC</t>
  </si>
  <si>
    <t>Randolph County, NC</t>
  </si>
  <si>
    <t>Richmond County, NC</t>
  </si>
  <si>
    <t>Robeson County, NC</t>
  </si>
  <si>
    <t>Rockingham County, NC</t>
  </si>
  <si>
    <t>Rowan County, NC</t>
  </si>
  <si>
    <t>Rutherford County, NC</t>
  </si>
  <si>
    <t>Sampson County, NC</t>
  </si>
  <si>
    <t>Scotland County, NC</t>
  </si>
  <si>
    <t>Stanly County, NC</t>
  </si>
  <si>
    <t>Stokes County, NC</t>
  </si>
  <si>
    <t>Surry County, NC</t>
  </si>
  <si>
    <t>Swain County, NC</t>
  </si>
  <si>
    <t>Transylvania County, NC</t>
  </si>
  <si>
    <t>Tyrrell County, NC</t>
  </si>
  <si>
    <t>Union County, NC</t>
  </si>
  <si>
    <t>Vance County, NC</t>
  </si>
  <si>
    <t>Wake County, NC</t>
  </si>
  <si>
    <t>Warren County, NC</t>
  </si>
  <si>
    <t>Washington County, NC</t>
  </si>
  <si>
    <t>Watauga County, NC</t>
  </si>
  <si>
    <t>Wayne County, NC</t>
  </si>
  <si>
    <t>Wilkes County, NC</t>
  </si>
  <si>
    <t>Wilson County, NC</t>
  </si>
  <si>
    <t>Yadkin County, NC</t>
  </si>
  <si>
    <t>Yancey County, NC</t>
  </si>
  <si>
    <t>Adams County, ND</t>
  </si>
  <si>
    <t>Barnes County, ND</t>
  </si>
  <si>
    <t>Benson County, ND</t>
  </si>
  <si>
    <t>Billings County, ND</t>
  </si>
  <si>
    <t>Bottineau County, ND</t>
  </si>
  <si>
    <t>Bowman County, ND</t>
  </si>
  <si>
    <t>Burke County, ND</t>
  </si>
  <si>
    <t>Burleigh County, ND</t>
  </si>
  <si>
    <t>Cass County, ND</t>
  </si>
  <si>
    <t>Cavalier County, ND</t>
  </si>
  <si>
    <t>Dickey County, ND</t>
  </si>
  <si>
    <t>Divide County, ND</t>
  </si>
  <si>
    <t>Dunn County, ND</t>
  </si>
  <si>
    <t>Eddy County, ND</t>
  </si>
  <si>
    <t>Emmons County, ND</t>
  </si>
  <si>
    <t>Foster County, ND</t>
  </si>
  <si>
    <t>Golden Valley County, ND</t>
  </si>
  <si>
    <t>Grand Forks County, ND</t>
  </si>
  <si>
    <t>Grant County, ND</t>
  </si>
  <si>
    <t>Griggs County, ND</t>
  </si>
  <si>
    <t>Hettinger County, ND</t>
  </si>
  <si>
    <t>Kidder County, ND</t>
  </si>
  <si>
    <t>LaMoure County, ND</t>
  </si>
  <si>
    <t>Logan County, ND</t>
  </si>
  <si>
    <t>McHenry County, ND</t>
  </si>
  <si>
    <t>McIntosh County, ND</t>
  </si>
  <si>
    <t>McKenzie County, ND</t>
  </si>
  <si>
    <t>McLean County, ND</t>
  </si>
  <si>
    <t>Mercer County, ND</t>
  </si>
  <si>
    <t>Morton County, ND</t>
  </si>
  <si>
    <t>Mountrail County, ND</t>
  </si>
  <si>
    <t>Nelson County, ND</t>
  </si>
  <si>
    <t>Oliver County, ND</t>
  </si>
  <si>
    <t>Pembina County, ND</t>
  </si>
  <si>
    <t>Pierce County, ND</t>
  </si>
  <si>
    <t>Ramsey County, ND</t>
  </si>
  <si>
    <t>Ransom County, ND</t>
  </si>
  <si>
    <t>Renville County, ND</t>
  </si>
  <si>
    <t>Richland County, ND</t>
  </si>
  <si>
    <t>Rolette County, ND</t>
  </si>
  <si>
    <t>Sargent County, ND</t>
  </si>
  <si>
    <t>Sheridan County, ND</t>
  </si>
  <si>
    <t>Sioux County, ND</t>
  </si>
  <si>
    <t>Slope County, ND</t>
  </si>
  <si>
    <t>Stark County, ND</t>
  </si>
  <si>
    <t>Steele County, ND</t>
  </si>
  <si>
    <t>Stutsman County, ND</t>
  </si>
  <si>
    <t>Towner County, ND</t>
  </si>
  <si>
    <t>Traill County, ND</t>
  </si>
  <si>
    <t>Walsh County, ND</t>
  </si>
  <si>
    <t>Ward County, ND</t>
  </si>
  <si>
    <t>Wells County, ND</t>
  </si>
  <si>
    <t>Williams County, ND</t>
  </si>
  <si>
    <t>Adams County, OH</t>
  </si>
  <si>
    <t>Allen County, OH</t>
  </si>
  <si>
    <t>Ashland County, OH</t>
  </si>
  <si>
    <t>Ashtabula County, OH</t>
  </si>
  <si>
    <t>Athens County, OH</t>
  </si>
  <si>
    <t>Auglaize County, OH</t>
  </si>
  <si>
    <t>Belmont County, OH</t>
  </si>
  <si>
    <t>Brown County, OH</t>
  </si>
  <si>
    <t>Butler County, OH</t>
  </si>
  <si>
    <t>Carroll County, OH</t>
  </si>
  <si>
    <t>Champaign County, OH</t>
  </si>
  <si>
    <t>Clark County, OH</t>
  </si>
  <si>
    <t>Clermont County, OH</t>
  </si>
  <si>
    <t>Clinton County, OH</t>
  </si>
  <si>
    <t>Columbiana County, OH</t>
  </si>
  <si>
    <t>Coshocton County, OH</t>
  </si>
  <si>
    <t>Crawford County, OH</t>
  </si>
  <si>
    <t>Cuyahoga County, OH</t>
  </si>
  <si>
    <t>Darke County, OH</t>
  </si>
  <si>
    <t>Defiance County, OH</t>
  </si>
  <si>
    <t>Delaware County, OH</t>
  </si>
  <si>
    <t>Erie County, OH</t>
  </si>
  <si>
    <t>Fairfield County, OH</t>
  </si>
  <si>
    <t>Fayette County, OH</t>
  </si>
  <si>
    <t>Franklin County, OH</t>
  </si>
  <si>
    <t>Fulton County, OH</t>
  </si>
  <si>
    <t>Gallia County, OH</t>
  </si>
  <si>
    <t>Geauga County, OH</t>
  </si>
  <si>
    <t>Greene County, OH</t>
  </si>
  <si>
    <t>Guernsey County, OH</t>
  </si>
  <si>
    <t>Hamilton County, OH</t>
  </si>
  <si>
    <t>Hancock County, OH</t>
  </si>
  <si>
    <t>Hardin County, OH</t>
  </si>
  <si>
    <t>Harrison County, OH</t>
  </si>
  <si>
    <t>Henry County, OH</t>
  </si>
  <si>
    <t>Highland County, OH</t>
  </si>
  <si>
    <t>Hocking County, OH</t>
  </si>
  <si>
    <t>Holmes County, OH</t>
  </si>
  <si>
    <t>Huron County, OH</t>
  </si>
  <si>
    <t>Jackson County, OH</t>
  </si>
  <si>
    <t>Jefferson County, OH</t>
  </si>
  <si>
    <t>Knox County, OH</t>
  </si>
  <si>
    <t>Lake County, OH</t>
  </si>
  <si>
    <t>Lawrence County, OH</t>
  </si>
  <si>
    <t>Licking County, OH</t>
  </si>
  <si>
    <t>Logan County, OH</t>
  </si>
  <si>
    <t>Lorain County, OH</t>
  </si>
  <si>
    <t>Lucas County, OH</t>
  </si>
  <si>
    <t>Madison County, OH</t>
  </si>
  <si>
    <t>Mahoning County, OH</t>
  </si>
  <si>
    <t>Marion County, OH</t>
  </si>
  <si>
    <t>Medina County, OH</t>
  </si>
  <si>
    <t>Meigs County, OH</t>
  </si>
  <si>
    <t>Mercer County, OH</t>
  </si>
  <si>
    <t>Miami County, OH</t>
  </si>
  <si>
    <t>Monroe County, OH</t>
  </si>
  <si>
    <t>Montgomery County, OH</t>
  </si>
  <si>
    <t>Morgan County, OH</t>
  </si>
  <si>
    <t>Morrow County, OH</t>
  </si>
  <si>
    <t>Muskingum County, OH</t>
  </si>
  <si>
    <t>Noble County, OH</t>
  </si>
  <si>
    <t>Ottawa County, OH</t>
  </si>
  <si>
    <t>Paulding County, OH</t>
  </si>
  <si>
    <t>Perry County, OH</t>
  </si>
  <si>
    <t>Pickaway County, OH</t>
  </si>
  <si>
    <t>Pike County, OH</t>
  </si>
  <si>
    <t>Portage County, OH</t>
  </si>
  <si>
    <t>Preble County, OH</t>
  </si>
  <si>
    <t>Putnam County, OH</t>
  </si>
  <si>
    <t>Richland County, OH</t>
  </si>
  <si>
    <t>Ross County, OH</t>
  </si>
  <si>
    <t>Sandusky County, OH</t>
  </si>
  <si>
    <t>Scioto County, OH</t>
  </si>
  <si>
    <t>Seneca County, OH</t>
  </si>
  <si>
    <t>Shelby County, OH</t>
  </si>
  <si>
    <t>Stark County, OH</t>
  </si>
  <si>
    <t>Summit County, OH</t>
  </si>
  <si>
    <t>Trumbull County, OH</t>
  </si>
  <si>
    <t>Tuscarawas County, OH</t>
  </si>
  <si>
    <t>Union County, OH</t>
  </si>
  <si>
    <t>Van Wert County, OH</t>
  </si>
  <si>
    <t>Vinton County, OH</t>
  </si>
  <si>
    <t>Warren County, OH</t>
  </si>
  <si>
    <t>Washington County, OH</t>
  </si>
  <si>
    <t>Wayne County, OH</t>
  </si>
  <si>
    <t>Williams County, OH</t>
  </si>
  <si>
    <t>Wood County, OH</t>
  </si>
  <si>
    <t>Wyandot County, OH</t>
  </si>
  <si>
    <t>Adair County, OK</t>
  </si>
  <si>
    <t>Alfalfa County, OK</t>
  </si>
  <si>
    <t>Atoka County, OK</t>
  </si>
  <si>
    <t>Beaver County, OK</t>
  </si>
  <si>
    <t>Beckham County, OK</t>
  </si>
  <si>
    <t>Blaine County, OK</t>
  </si>
  <si>
    <t>Bryan County, OK</t>
  </si>
  <si>
    <t>Caddo County, OK</t>
  </si>
  <si>
    <t>Canadian County, OK</t>
  </si>
  <si>
    <t>Carter County, OK</t>
  </si>
  <si>
    <t>Cherokee County, OK</t>
  </si>
  <si>
    <t>Choctaw County, OK</t>
  </si>
  <si>
    <t>Cimarron County, OK</t>
  </si>
  <si>
    <t>Cleveland County, OK</t>
  </si>
  <si>
    <t>Coal County, OK</t>
  </si>
  <si>
    <t>Comanche County, OK</t>
  </si>
  <si>
    <t>Cotton County, OK</t>
  </si>
  <si>
    <t>Craig County, OK</t>
  </si>
  <si>
    <t>Creek County, OK</t>
  </si>
  <si>
    <t>Custer County, OK</t>
  </si>
  <si>
    <t>Delaware County, OK</t>
  </si>
  <si>
    <t>Dewey County, OK</t>
  </si>
  <si>
    <t>Ellis County, OK</t>
  </si>
  <si>
    <t>Garfield County, OK</t>
  </si>
  <si>
    <t>Garvin County, OK</t>
  </si>
  <si>
    <t>Grady County, OK</t>
  </si>
  <si>
    <t>Grant County, OK</t>
  </si>
  <si>
    <t>Greer County, OK</t>
  </si>
  <si>
    <t>Harmon County, OK</t>
  </si>
  <si>
    <t>Harper County, OK</t>
  </si>
  <si>
    <t>Haskell County, OK</t>
  </si>
  <si>
    <t>Hughes County, OK</t>
  </si>
  <si>
    <t>Jackson County, OK</t>
  </si>
  <si>
    <t>Jefferson County, OK</t>
  </si>
  <si>
    <t>Johnston County, OK</t>
  </si>
  <si>
    <t>Kay County, OK</t>
  </si>
  <si>
    <t>Kingfisher County, OK</t>
  </si>
  <si>
    <t>Kiowa County, OK</t>
  </si>
  <si>
    <t>Latimer County, OK</t>
  </si>
  <si>
    <t>Le Flore County, OK</t>
  </si>
  <si>
    <t>Lincoln County, OK</t>
  </si>
  <si>
    <t>Logan County, OK</t>
  </si>
  <si>
    <t>Love County, OK</t>
  </si>
  <si>
    <t>Major County, OK</t>
  </si>
  <si>
    <t>Marshall County, OK</t>
  </si>
  <si>
    <t>Mayes County, OK</t>
  </si>
  <si>
    <t>McClain County, OK</t>
  </si>
  <si>
    <t>McCurtain County, OK</t>
  </si>
  <si>
    <t>McIntosh County, OK</t>
  </si>
  <si>
    <t>Murray County, OK</t>
  </si>
  <si>
    <t>Muskogee County, OK</t>
  </si>
  <si>
    <t>Noble County, OK</t>
  </si>
  <si>
    <t>Nowata County, OK</t>
  </si>
  <si>
    <t>Okfuskee County, OK</t>
  </si>
  <si>
    <t>Oklahoma County, OK</t>
  </si>
  <si>
    <t>Okmulgee County, OK</t>
  </si>
  <si>
    <t>Osage County, OK</t>
  </si>
  <si>
    <t>Ottawa County, OK</t>
  </si>
  <si>
    <t>Pawnee County, OK</t>
  </si>
  <si>
    <t>Payne County, OK</t>
  </si>
  <si>
    <t>Pittsburg County, OK</t>
  </si>
  <si>
    <t>Pontotoc County, OK</t>
  </si>
  <si>
    <t>Pottawatomie County, OK</t>
  </si>
  <si>
    <t>Pushmataha County, OK</t>
  </si>
  <si>
    <t>Roger Mills County, OK</t>
  </si>
  <si>
    <t>Rogers County, OK</t>
  </si>
  <si>
    <t>Seminole County, OK</t>
  </si>
  <si>
    <t>Sequoyah County, OK</t>
  </si>
  <si>
    <t>Stephens County, OK</t>
  </si>
  <si>
    <t>Texas County, OK</t>
  </si>
  <si>
    <t>Tillman County, OK</t>
  </si>
  <si>
    <t>Tulsa County, OK</t>
  </si>
  <si>
    <t>Wagoner County, OK</t>
  </si>
  <si>
    <t>Washington County, OK</t>
  </si>
  <si>
    <t>Washita County, OK</t>
  </si>
  <si>
    <t>Woods County, OK</t>
  </si>
  <si>
    <t>Woodward County, OK</t>
  </si>
  <si>
    <t>Baker County, OR</t>
  </si>
  <si>
    <t>Benton County, OR</t>
  </si>
  <si>
    <t>Clackamas County, OR</t>
  </si>
  <si>
    <t>Clatsop County, OR</t>
  </si>
  <si>
    <t>Columbia County, OR</t>
  </si>
  <si>
    <t>Coos County, OR</t>
  </si>
  <si>
    <t>Crook County, OR</t>
  </si>
  <si>
    <t>Curry County, OR</t>
  </si>
  <si>
    <t>Deschutes County, OR</t>
  </si>
  <si>
    <t>Douglas County, OR</t>
  </si>
  <si>
    <t>Gilliam County, OR</t>
  </si>
  <si>
    <t>Grant County, OR</t>
  </si>
  <si>
    <t>Harney County, OR</t>
  </si>
  <si>
    <t>Hood River County, OR</t>
  </si>
  <si>
    <t>Jackson County, OR</t>
  </si>
  <si>
    <t>Jefferson County, OR</t>
  </si>
  <si>
    <t>Josephine County, OR</t>
  </si>
  <si>
    <t>Klamath County, OR</t>
  </si>
  <si>
    <t>Lake County, OR</t>
  </si>
  <si>
    <t>Lane County, OR</t>
  </si>
  <si>
    <t>Lincoln County, OR</t>
  </si>
  <si>
    <t>Linn County, OR</t>
  </si>
  <si>
    <t>Malheur County, OR</t>
  </si>
  <si>
    <t>Marion County, OR</t>
  </si>
  <si>
    <t>Morrow County, OR</t>
  </si>
  <si>
    <t>Multnomah County, OR</t>
  </si>
  <si>
    <t>Polk County, OR</t>
  </si>
  <si>
    <t>Sherman County, OR</t>
  </si>
  <si>
    <t>Tillamook County, OR</t>
  </si>
  <si>
    <t>Umatilla County, OR</t>
  </si>
  <si>
    <t>Union County, OR</t>
  </si>
  <si>
    <t>Wallowa County, OR</t>
  </si>
  <si>
    <t>Wasco County, OR</t>
  </si>
  <si>
    <t>Washington County, OR</t>
  </si>
  <si>
    <t>Wheeler County, OR</t>
  </si>
  <si>
    <t>Yamhill County, OR</t>
  </si>
  <si>
    <t>Adams County, PA</t>
  </si>
  <si>
    <t>Allegheny County, PA</t>
  </si>
  <si>
    <t>Armstrong County, PA</t>
  </si>
  <si>
    <t>Beaver County, PA</t>
  </si>
  <si>
    <t>Bedford County, PA</t>
  </si>
  <si>
    <t>Berks County, PA</t>
  </si>
  <si>
    <t>Blair County, PA</t>
  </si>
  <si>
    <t>Bradford County, PA</t>
  </si>
  <si>
    <t>Bucks County, PA</t>
  </si>
  <si>
    <t>Butler County, PA</t>
  </si>
  <si>
    <t>Cambria County, PA</t>
  </si>
  <si>
    <t>Cameron County, PA</t>
  </si>
  <si>
    <t>Carbon County, PA</t>
  </si>
  <si>
    <t>Centre County, PA</t>
  </si>
  <si>
    <t>Chester County, PA</t>
  </si>
  <si>
    <t>Clarion County, PA</t>
  </si>
  <si>
    <t>Clearfield County, PA</t>
  </si>
  <si>
    <t>Clinton County, PA</t>
  </si>
  <si>
    <t>Columbia County, PA</t>
  </si>
  <si>
    <t>Crawford County, PA</t>
  </si>
  <si>
    <t>Cumberland County, PA</t>
  </si>
  <si>
    <t>Dauphin County, PA</t>
  </si>
  <si>
    <t>Delaware County, PA</t>
  </si>
  <si>
    <t>Elk County, PA</t>
  </si>
  <si>
    <t>Erie County, PA</t>
  </si>
  <si>
    <t>Fayette County, PA</t>
  </si>
  <si>
    <t>Forest County, PA</t>
  </si>
  <si>
    <t>Franklin County, PA</t>
  </si>
  <si>
    <t>Fulton County, PA</t>
  </si>
  <si>
    <t>Greene County, PA</t>
  </si>
  <si>
    <t>Huntingdon County, PA</t>
  </si>
  <si>
    <t>Indiana County, PA</t>
  </si>
  <si>
    <t>Jefferson County, PA</t>
  </si>
  <si>
    <t>Juniata County, PA</t>
  </si>
  <si>
    <t>Lackawanna County, PA</t>
  </si>
  <si>
    <t>Lancaster County, PA</t>
  </si>
  <si>
    <t>Lawrence County, PA</t>
  </si>
  <si>
    <t>Lebanon County, PA</t>
  </si>
  <si>
    <t>Lehigh County, PA</t>
  </si>
  <si>
    <t>Luzerne County, PA</t>
  </si>
  <si>
    <t>Lycoming County, PA</t>
  </si>
  <si>
    <t>McKean County, PA</t>
  </si>
  <si>
    <t>Mercer County, PA</t>
  </si>
  <si>
    <t>Mifflin County, PA</t>
  </si>
  <si>
    <t>Monroe County, PA</t>
  </si>
  <si>
    <t>Montgomery County, PA</t>
  </si>
  <si>
    <t>Montour County, PA</t>
  </si>
  <si>
    <t>Northampton County, PA</t>
  </si>
  <si>
    <t>Northumberland County, PA</t>
  </si>
  <si>
    <t>Perry County, PA</t>
  </si>
  <si>
    <t>Philadelphia County, PA</t>
  </si>
  <si>
    <t>Pike County, PA</t>
  </si>
  <si>
    <t>Potter County, PA</t>
  </si>
  <si>
    <t>Schuylkill County, PA</t>
  </si>
  <si>
    <t>Snyder County, PA</t>
  </si>
  <si>
    <t>Somerset County, PA</t>
  </si>
  <si>
    <t>Sullivan County, PA</t>
  </si>
  <si>
    <t>Susquehanna County, PA</t>
  </si>
  <si>
    <t>Tioga County, PA</t>
  </si>
  <si>
    <t>Union County, PA</t>
  </si>
  <si>
    <t>Venango County, PA</t>
  </si>
  <si>
    <t>Warren County, PA</t>
  </si>
  <si>
    <t>Washington County, PA</t>
  </si>
  <si>
    <t>Wayne County, PA</t>
  </si>
  <si>
    <t>Westmoreland County, PA</t>
  </si>
  <si>
    <t>Wyoming County, PA</t>
  </si>
  <si>
    <t>York County, PA</t>
  </si>
  <si>
    <t>Bristol County, RI</t>
  </si>
  <si>
    <t>Kent County, RI</t>
  </si>
  <si>
    <t>Newport County, RI</t>
  </si>
  <si>
    <t>Providence County, RI</t>
  </si>
  <si>
    <t>Washington County, RI</t>
  </si>
  <si>
    <t>Abbeville County, SC</t>
  </si>
  <si>
    <t>Aiken County, SC</t>
  </si>
  <si>
    <t>Allendale County, SC</t>
  </si>
  <si>
    <t>Anderson County, SC</t>
  </si>
  <si>
    <t>Bamberg County, SC</t>
  </si>
  <si>
    <t>Barnwell County, SC</t>
  </si>
  <si>
    <t>Beaufort County, SC</t>
  </si>
  <si>
    <t>Berkeley County, SC</t>
  </si>
  <si>
    <t>Calhoun County, SC</t>
  </si>
  <si>
    <t>Charleston County, SC</t>
  </si>
  <si>
    <t>Cherokee County, SC</t>
  </si>
  <si>
    <t>Chester County, SC</t>
  </si>
  <si>
    <t>Chesterfield County, SC</t>
  </si>
  <si>
    <t>Clarendon County, SC</t>
  </si>
  <si>
    <t>Colleton County, SC</t>
  </si>
  <si>
    <t>Darlington County, SC</t>
  </si>
  <si>
    <t>Dillon County, SC</t>
  </si>
  <si>
    <t>Dorchester County, SC</t>
  </si>
  <si>
    <t>Edgefield County, SC</t>
  </si>
  <si>
    <t>Fairfield County, SC</t>
  </si>
  <si>
    <t>Florence County, SC</t>
  </si>
  <si>
    <t>Georgetown County, SC</t>
  </si>
  <si>
    <t>Greenville County, SC</t>
  </si>
  <si>
    <t>Greenwood County, SC</t>
  </si>
  <si>
    <t>Hampton County, SC</t>
  </si>
  <si>
    <t>Horry County, SC</t>
  </si>
  <si>
    <t>Jasper County, SC</t>
  </si>
  <si>
    <t>Kershaw County, SC</t>
  </si>
  <si>
    <t>Lancaster County, SC</t>
  </si>
  <si>
    <t>Laurens County, SC</t>
  </si>
  <si>
    <t>Lee County, SC</t>
  </si>
  <si>
    <t>Lexington County, SC</t>
  </si>
  <si>
    <t>Marion County, SC</t>
  </si>
  <si>
    <t>Marlboro County, SC</t>
  </si>
  <si>
    <t>McCormick County, SC</t>
  </si>
  <si>
    <t>Newberry County, SC</t>
  </si>
  <si>
    <t>Oconee County, SC</t>
  </si>
  <si>
    <t>Orangeburg County, SC</t>
  </si>
  <si>
    <t>Pickens County, SC</t>
  </si>
  <si>
    <t>Richland County, SC</t>
  </si>
  <si>
    <t>Saluda County, SC</t>
  </si>
  <si>
    <t>Spartanburg County, SC</t>
  </si>
  <si>
    <t>Sumter County, SC</t>
  </si>
  <si>
    <t>Union County, SC</t>
  </si>
  <si>
    <t>Williamsburg County, SC</t>
  </si>
  <si>
    <t>York County, SC</t>
  </si>
  <si>
    <t>Aurora County, SD</t>
  </si>
  <si>
    <t>Beadle County, SD</t>
  </si>
  <si>
    <t>Bennett County, SD</t>
  </si>
  <si>
    <t>Bon Homme County, SD</t>
  </si>
  <si>
    <t>Brookings County, SD</t>
  </si>
  <si>
    <t>Brown County, SD</t>
  </si>
  <si>
    <t>Brule County, SD</t>
  </si>
  <si>
    <t>Buffalo County, SD</t>
  </si>
  <si>
    <t>Butte County, SD</t>
  </si>
  <si>
    <t>Campbell County, SD</t>
  </si>
  <si>
    <t>Charles Mix County, SD</t>
  </si>
  <si>
    <t>Clark County, SD</t>
  </si>
  <si>
    <t>Clay County, SD</t>
  </si>
  <si>
    <t>Codington County, SD</t>
  </si>
  <si>
    <t>Corson County, SD</t>
  </si>
  <si>
    <t>Custer County, SD</t>
  </si>
  <si>
    <t>Davison County, SD</t>
  </si>
  <si>
    <t>Day County, SD</t>
  </si>
  <si>
    <t>Deuel County, SD</t>
  </si>
  <si>
    <t>Dewey County, SD</t>
  </si>
  <si>
    <t>Douglas County, SD</t>
  </si>
  <si>
    <t>Edmunds County, SD</t>
  </si>
  <si>
    <t>Fall River County, SD</t>
  </si>
  <si>
    <t>Faulk County, SD</t>
  </si>
  <si>
    <t>Grant County, SD</t>
  </si>
  <si>
    <t>Gregory County, SD</t>
  </si>
  <si>
    <t>Haakon County, SD</t>
  </si>
  <si>
    <t>Hamlin County, SD</t>
  </si>
  <si>
    <t>Hand County, SD</t>
  </si>
  <si>
    <t>Hanson County, SD</t>
  </si>
  <si>
    <t>Harding County, SD</t>
  </si>
  <si>
    <t>Hughes County, SD</t>
  </si>
  <si>
    <t>Hutchinson County, SD</t>
  </si>
  <si>
    <t>Hyde County, SD</t>
  </si>
  <si>
    <t>Jackson County, SD</t>
  </si>
  <si>
    <t>Jerauld County, SD</t>
  </si>
  <si>
    <t>Jones County, SD</t>
  </si>
  <si>
    <t>Kingsbury County, SD</t>
  </si>
  <si>
    <t>Lake County, SD</t>
  </si>
  <si>
    <t>Lawrence County, SD</t>
  </si>
  <si>
    <t>Lincoln County, SD</t>
  </si>
  <si>
    <t>Lyman County, SD</t>
  </si>
  <si>
    <t>Marshall County, SD</t>
  </si>
  <si>
    <t>McCook County, SD</t>
  </si>
  <si>
    <t>McPherson County, SD</t>
  </si>
  <si>
    <t>Meade County, SD</t>
  </si>
  <si>
    <t>Mellette County, SD</t>
  </si>
  <si>
    <t>Miner County, SD</t>
  </si>
  <si>
    <t>Minnehaha County, SD</t>
  </si>
  <si>
    <t>Moody County, SD</t>
  </si>
  <si>
    <t>Pennington County, SD</t>
  </si>
  <si>
    <t>Perkins County, SD</t>
  </si>
  <si>
    <t>Potter County, SD</t>
  </si>
  <si>
    <t>Roberts County, SD</t>
  </si>
  <si>
    <t>Sanborn County, SD</t>
  </si>
  <si>
    <t>Shannon County, SD</t>
  </si>
  <si>
    <t>Spink County, SD</t>
  </si>
  <si>
    <t>Stanley County, SD</t>
  </si>
  <si>
    <t>Sully County, SD</t>
  </si>
  <si>
    <t>Todd County, SD</t>
  </si>
  <si>
    <t>Tripp County, SD</t>
  </si>
  <si>
    <t>Turner County, SD</t>
  </si>
  <si>
    <t>Union County, SD</t>
  </si>
  <si>
    <t>Walworth County, SD</t>
  </si>
  <si>
    <t>Yankton County, SD</t>
  </si>
  <si>
    <t>Ziebach County, SD</t>
  </si>
  <si>
    <t>Anderson County, TN</t>
  </si>
  <si>
    <t>Bedford County, TN</t>
  </si>
  <si>
    <t>Benton County, TN</t>
  </si>
  <si>
    <t>Bledsoe County, TN</t>
  </si>
  <si>
    <t>Blount County, TN</t>
  </si>
  <si>
    <t>Bradley County, TN</t>
  </si>
  <si>
    <t>Campbell County, TN</t>
  </si>
  <si>
    <t>Cannon County, TN</t>
  </si>
  <si>
    <t>Carroll County, TN</t>
  </si>
  <si>
    <t>Carter County, TN</t>
  </si>
  <si>
    <t>Cheatham County, TN</t>
  </si>
  <si>
    <t>Chester County, TN</t>
  </si>
  <si>
    <t>Claiborne County, TN</t>
  </si>
  <si>
    <t>Clay County, TN</t>
  </si>
  <si>
    <t>Cocke County, TN</t>
  </si>
  <si>
    <t>Coffee County, TN</t>
  </si>
  <si>
    <t>Crockett County, TN</t>
  </si>
  <si>
    <t>Cumberland County, TN</t>
  </si>
  <si>
    <t>Davidson County, TN</t>
  </si>
  <si>
    <t>Decatur County, TN</t>
  </si>
  <si>
    <t>DeKalb County, TN</t>
  </si>
  <si>
    <t>Dickson County, TN</t>
  </si>
  <si>
    <t>Dyer County, TN</t>
  </si>
  <si>
    <t>Fayette County, TN</t>
  </si>
  <si>
    <t>Fentress County, TN</t>
  </si>
  <si>
    <t>Franklin County, TN</t>
  </si>
  <si>
    <t>Gibson County, TN</t>
  </si>
  <si>
    <t>Giles County, TN</t>
  </si>
  <si>
    <t>Grainger County, TN</t>
  </si>
  <si>
    <t>Greene County, TN</t>
  </si>
  <si>
    <t>Grundy County, TN</t>
  </si>
  <si>
    <t>Hamblen County, TN</t>
  </si>
  <si>
    <t>Hamilton County, TN</t>
  </si>
  <si>
    <t>Hancock County, TN</t>
  </si>
  <si>
    <t>Hardeman County, TN</t>
  </si>
  <si>
    <t>Hardin County, TN</t>
  </si>
  <si>
    <t>Hawkins County, TN</t>
  </si>
  <si>
    <t>Haywood County, TN</t>
  </si>
  <si>
    <t>Henderson County, TN</t>
  </si>
  <si>
    <t>Henry County, TN</t>
  </si>
  <si>
    <t>Hickman County, TN</t>
  </si>
  <si>
    <t>Houston County, TN</t>
  </si>
  <si>
    <t>Humphreys County, TN</t>
  </si>
  <si>
    <t>Jackson County, TN</t>
  </si>
  <si>
    <t>Jefferson County, TN</t>
  </si>
  <si>
    <t>Johnson County, TN</t>
  </si>
  <si>
    <t>Knox County, TN</t>
  </si>
  <si>
    <t>Lake County, TN</t>
  </si>
  <si>
    <t>Lauderdale County, TN</t>
  </si>
  <si>
    <t>Lawrence County, TN</t>
  </si>
  <si>
    <t>Lewis County, TN</t>
  </si>
  <si>
    <t>Lincoln County, TN</t>
  </si>
  <si>
    <t>Loudon County, TN</t>
  </si>
  <si>
    <t>Macon County, TN</t>
  </si>
  <si>
    <t>Madison County, TN</t>
  </si>
  <si>
    <t>Marion County, TN</t>
  </si>
  <si>
    <t>Marshall County, TN</t>
  </si>
  <si>
    <t>Maury County, TN</t>
  </si>
  <si>
    <t>McMinn County, TN</t>
  </si>
  <si>
    <t>McNairy County, TN</t>
  </si>
  <si>
    <t>Meigs County, TN</t>
  </si>
  <si>
    <t>Monroe County, TN</t>
  </si>
  <si>
    <t>Montgomery County, TN</t>
  </si>
  <si>
    <t>Moore County, TN</t>
  </si>
  <si>
    <t>Morgan County, TN</t>
  </si>
  <si>
    <t>Obion County, TN</t>
  </si>
  <si>
    <t>Overton County, TN</t>
  </si>
  <si>
    <t>Perry County, TN</t>
  </si>
  <si>
    <t>Pickett County, TN</t>
  </si>
  <si>
    <t>Polk County, TN</t>
  </si>
  <si>
    <t>Putnam County, TN</t>
  </si>
  <si>
    <t>Rhea County, TN</t>
  </si>
  <si>
    <t>Roane County, TN</t>
  </si>
  <si>
    <t>Robertson County, TN</t>
  </si>
  <si>
    <t>Rutherford County, TN</t>
  </si>
  <si>
    <t>Scott County, TN</t>
  </si>
  <si>
    <t>Sequatchie County, TN</t>
  </si>
  <si>
    <t>Sevier County, TN</t>
  </si>
  <si>
    <t>Shelby County, TN</t>
  </si>
  <si>
    <t>Smith County, TN</t>
  </si>
  <si>
    <t>Stewart County, TN</t>
  </si>
  <si>
    <t>Sullivan County, TN</t>
  </si>
  <si>
    <t>Sumner County, TN</t>
  </si>
  <si>
    <t>Tipton County, TN</t>
  </si>
  <si>
    <t>Trousdale County, TN</t>
  </si>
  <si>
    <t>Unicoi County, TN</t>
  </si>
  <si>
    <t>Union County, TN</t>
  </si>
  <si>
    <t>Van Buren County, TN</t>
  </si>
  <si>
    <t>Warren County, TN</t>
  </si>
  <si>
    <t>Washington County, TN</t>
  </si>
  <si>
    <t>Wayne County, TN</t>
  </si>
  <si>
    <t>Weakley County, TN</t>
  </si>
  <si>
    <t>White County, TN</t>
  </si>
  <si>
    <t>Williamson County, TN</t>
  </si>
  <si>
    <t>Wilson County, TN</t>
  </si>
  <si>
    <t>Anderson County, TX</t>
  </si>
  <si>
    <t>Andrews County, TX</t>
  </si>
  <si>
    <t>Angelina County, TX</t>
  </si>
  <si>
    <t>Aransas County, TX</t>
  </si>
  <si>
    <t>Archer County, TX</t>
  </si>
  <si>
    <t>Armstrong County, TX</t>
  </si>
  <si>
    <t>Atascosa County, TX</t>
  </si>
  <si>
    <t>Austin County, TX</t>
  </si>
  <si>
    <t>Bailey County, TX</t>
  </si>
  <si>
    <t>Bandera County, TX</t>
  </si>
  <si>
    <t>Bastrop County, TX</t>
  </si>
  <si>
    <t>Baylor County, TX</t>
  </si>
  <si>
    <t>Bee County, TX</t>
  </si>
  <si>
    <t>Bell County, TX</t>
  </si>
  <si>
    <t>Bexar County, TX</t>
  </si>
  <si>
    <t>Blanco County, TX</t>
  </si>
  <si>
    <t>Borden County, TX</t>
  </si>
  <si>
    <t>Bosque County, TX</t>
  </si>
  <si>
    <t>Bowie County, TX</t>
  </si>
  <si>
    <t>Brazoria County, TX</t>
  </si>
  <si>
    <t>Brazos County, TX</t>
  </si>
  <si>
    <t>Brewster County, TX</t>
  </si>
  <si>
    <t>Briscoe County, TX</t>
  </si>
  <si>
    <t>Brooks County, TX</t>
  </si>
  <si>
    <t>Brown County, TX</t>
  </si>
  <si>
    <t>Burleson County, TX</t>
  </si>
  <si>
    <t>Burnet County, TX</t>
  </si>
  <si>
    <t>Caldwell County, TX</t>
  </si>
  <si>
    <t>Calhoun County, TX</t>
  </si>
  <si>
    <t>Callahan County, TX</t>
  </si>
  <si>
    <t>Cameron County, TX</t>
  </si>
  <si>
    <t>Camp County, TX</t>
  </si>
  <si>
    <t>Carson County, TX</t>
  </si>
  <si>
    <t>Cass County, TX</t>
  </si>
  <si>
    <t>Castro County, TX</t>
  </si>
  <si>
    <t>Chambers County, TX</t>
  </si>
  <si>
    <t>Cherokee County, TX</t>
  </si>
  <si>
    <t>Childress County, TX</t>
  </si>
  <si>
    <t>Clay County, TX</t>
  </si>
  <si>
    <t>Cochran County, TX</t>
  </si>
  <si>
    <t>Coke County, TX</t>
  </si>
  <si>
    <t>Coleman County, TX</t>
  </si>
  <si>
    <t>Collin County, TX</t>
  </si>
  <si>
    <t>Collingsworth County, TX</t>
  </si>
  <si>
    <t>Colorado County, TX</t>
  </si>
  <si>
    <t>Comal County, TX</t>
  </si>
  <si>
    <t>Comanche County, TX</t>
  </si>
  <si>
    <t>Concho County, TX</t>
  </si>
  <si>
    <t>Cooke County, TX</t>
  </si>
  <si>
    <t>Coryell County, TX</t>
  </si>
  <si>
    <t>Cottle County, TX</t>
  </si>
  <si>
    <t>Crane County, TX</t>
  </si>
  <si>
    <t>Crockett County, TX</t>
  </si>
  <si>
    <t>Crosby County, TX</t>
  </si>
  <si>
    <t>Culberson County, TX</t>
  </si>
  <si>
    <t>Dallam County, TX</t>
  </si>
  <si>
    <t>Dallas County, TX</t>
  </si>
  <si>
    <t>Dawson County, TX</t>
  </si>
  <si>
    <t>Deaf Smith County, TX</t>
  </si>
  <si>
    <t>Delta County, TX</t>
  </si>
  <si>
    <t>Denton County, TX</t>
  </si>
  <si>
    <t>DeWitt County, TX</t>
  </si>
  <si>
    <t>Dickens County, TX</t>
  </si>
  <si>
    <t>Dimmit County, TX</t>
  </si>
  <si>
    <t>Donley County, TX</t>
  </si>
  <si>
    <t>Duval County, TX</t>
  </si>
  <si>
    <t>Eastland County, TX</t>
  </si>
  <si>
    <t>Ector County, TX</t>
  </si>
  <si>
    <t>Edwards County, TX</t>
  </si>
  <si>
    <t>El Paso County, TX</t>
  </si>
  <si>
    <t>Ellis County, TX</t>
  </si>
  <si>
    <t>Erath County, TX</t>
  </si>
  <si>
    <t>Falls County, TX</t>
  </si>
  <si>
    <t>Fannin County, TX</t>
  </si>
  <si>
    <t>Fayette County, TX</t>
  </si>
  <si>
    <t>Fisher County, TX</t>
  </si>
  <si>
    <t>Floyd County, TX</t>
  </si>
  <si>
    <t>Foard County, TX</t>
  </si>
  <si>
    <t>Fort Bend County, TX</t>
  </si>
  <si>
    <t>Franklin County, TX</t>
  </si>
  <si>
    <t>Freestone County, TX</t>
  </si>
  <si>
    <t>Frio County, TX</t>
  </si>
  <si>
    <t>Gaines County, TX</t>
  </si>
  <si>
    <t>Galveston County, TX</t>
  </si>
  <si>
    <t>Garza County, TX</t>
  </si>
  <si>
    <t>Gillespie County, TX</t>
  </si>
  <si>
    <t>Glasscock County, TX</t>
  </si>
  <si>
    <t>Goliad County, TX</t>
  </si>
  <si>
    <t>Gonzales County, TX</t>
  </si>
  <si>
    <t>Gray County, TX</t>
  </si>
  <si>
    <t>Grayson County, TX</t>
  </si>
  <si>
    <t>Gregg County, TX</t>
  </si>
  <si>
    <t>Grimes County, TX</t>
  </si>
  <si>
    <t>Guadalupe County, TX</t>
  </si>
  <si>
    <t>Hale County, TX</t>
  </si>
  <si>
    <t>Hall County, TX</t>
  </si>
  <si>
    <t>Hamilton County, TX</t>
  </si>
  <si>
    <t>Hansford County, TX</t>
  </si>
  <si>
    <t>Hardeman County, TX</t>
  </si>
  <si>
    <t>Hardin County, TX</t>
  </si>
  <si>
    <t>Harris County, TX</t>
  </si>
  <si>
    <t>Harrison County, TX</t>
  </si>
  <si>
    <t>Hartley County, TX</t>
  </si>
  <si>
    <t>Haskell County, TX</t>
  </si>
  <si>
    <t>Hays County, TX</t>
  </si>
  <si>
    <t>Hemphill County, TX</t>
  </si>
  <si>
    <t>Henderson County, TX</t>
  </si>
  <si>
    <t>Hidalgo County, TX</t>
  </si>
  <si>
    <t>Hill County, TX</t>
  </si>
  <si>
    <t>Hockley County, TX</t>
  </si>
  <si>
    <t>Hood County, TX</t>
  </si>
  <si>
    <t>Hopkins County, TX</t>
  </si>
  <si>
    <t>Houston County, TX</t>
  </si>
  <si>
    <t>Howard County, TX</t>
  </si>
  <si>
    <t>Hudspeth County, TX</t>
  </si>
  <si>
    <t>Hunt County, TX</t>
  </si>
  <si>
    <t>Hutchinson County, TX</t>
  </si>
  <si>
    <t>Irion County, TX</t>
  </si>
  <si>
    <t>Jack County, TX</t>
  </si>
  <si>
    <t>Jackson County, TX</t>
  </si>
  <si>
    <t>Jasper County, TX</t>
  </si>
  <si>
    <t>Jeff Davis County, TX</t>
  </si>
  <si>
    <t>Jefferson County, TX</t>
  </si>
  <si>
    <t>Jim Hogg County, TX</t>
  </si>
  <si>
    <t>Jim Wells County, TX</t>
  </si>
  <si>
    <t>Johnson County, TX</t>
  </si>
  <si>
    <t>Jones County, TX</t>
  </si>
  <si>
    <t>Karnes County, TX</t>
  </si>
  <si>
    <t>Kaufman County, TX</t>
  </si>
  <si>
    <t>Kendall County, TX</t>
  </si>
  <si>
    <t>Kenedy County, TX</t>
  </si>
  <si>
    <t>Kent County, TX</t>
  </si>
  <si>
    <t>Kerr County, TX</t>
  </si>
  <si>
    <t>Kimble County, TX</t>
  </si>
  <si>
    <t>King County, TX</t>
  </si>
  <si>
    <t>Kinney County, TX</t>
  </si>
  <si>
    <t>Kleberg County, TX</t>
  </si>
  <si>
    <t>Knox County, TX</t>
  </si>
  <si>
    <t>La Salle County, TX</t>
  </si>
  <si>
    <t>Lamar County, TX</t>
  </si>
  <si>
    <t>Lamb County, TX</t>
  </si>
  <si>
    <t>Lampasas County, TX</t>
  </si>
  <si>
    <t>Lavaca County, TX</t>
  </si>
  <si>
    <t>Lee County, TX</t>
  </si>
  <si>
    <t>Leon County, TX</t>
  </si>
  <si>
    <t>Liberty County, TX</t>
  </si>
  <si>
    <t>Limestone County, TX</t>
  </si>
  <si>
    <t>Lipscomb County, TX</t>
  </si>
  <si>
    <t>Live Oak County, TX</t>
  </si>
  <si>
    <t>Llano County, TX</t>
  </si>
  <si>
    <t>Loving County, TX</t>
  </si>
  <si>
    <t>Lubbock County, TX</t>
  </si>
  <si>
    <t>Lynn County, TX</t>
  </si>
  <si>
    <t>Madison County, TX</t>
  </si>
  <si>
    <t>Marion County, TX</t>
  </si>
  <si>
    <t>Martin County, TX</t>
  </si>
  <si>
    <t>Mason County, TX</t>
  </si>
  <si>
    <t>Matagorda County, TX</t>
  </si>
  <si>
    <t>Maverick County, TX</t>
  </si>
  <si>
    <t>McCulloch County, TX</t>
  </si>
  <si>
    <t>McLennan County, TX</t>
  </si>
  <si>
    <t>McMullen County, TX</t>
  </si>
  <si>
    <t>Medina County, TX</t>
  </si>
  <si>
    <t>Menard County, TX</t>
  </si>
  <si>
    <t>Midland County, TX</t>
  </si>
  <si>
    <t>Milam County, TX</t>
  </si>
  <si>
    <t>Mills County, TX</t>
  </si>
  <si>
    <t>Mitchell County, TX</t>
  </si>
  <si>
    <t>Montague County, TX</t>
  </si>
  <si>
    <t>Montgomery County, TX</t>
  </si>
  <si>
    <t>Moore County, TX</t>
  </si>
  <si>
    <t>Morris County, TX</t>
  </si>
  <si>
    <t>Motley County, TX</t>
  </si>
  <si>
    <t>Nacogdoches County, TX</t>
  </si>
  <si>
    <t>Navarro County, TX</t>
  </si>
  <si>
    <t>Newton County, TX</t>
  </si>
  <si>
    <t>Nolan County, TX</t>
  </si>
  <si>
    <t>Nueces County, TX</t>
  </si>
  <si>
    <t>Ochiltree County, TX</t>
  </si>
  <si>
    <t>Oldham County, TX</t>
  </si>
  <si>
    <t>Orange County, TX</t>
  </si>
  <si>
    <t>Palo Pinto County, TX</t>
  </si>
  <si>
    <t>Panola County, TX</t>
  </si>
  <si>
    <t>Parker County, TX</t>
  </si>
  <si>
    <t>Parmer County, TX</t>
  </si>
  <si>
    <t>Pecos County, TX</t>
  </si>
  <si>
    <t>Polk County, TX</t>
  </si>
  <si>
    <t>Potter County, TX</t>
  </si>
  <si>
    <t>Presidio County, TX</t>
  </si>
  <si>
    <t>Rains County, TX</t>
  </si>
  <si>
    <t>Randall County, TX</t>
  </si>
  <si>
    <t>Reagan County, TX</t>
  </si>
  <si>
    <t>Real County, TX</t>
  </si>
  <si>
    <t>Red River County, TX</t>
  </si>
  <si>
    <t>Reeves County, TX</t>
  </si>
  <si>
    <t>Refugio County, TX</t>
  </si>
  <si>
    <t>Roberts County, TX</t>
  </si>
  <si>
    <t>Robertson County, TX</t>
  </si>
  <si>
    <t>Rockwall County, TX</t>
  </si>
  <si>
    <t>Runnels County, TX</t>
  </si>
  <si>
    <t>Rusk County, TX</t>
  </si>
  <si>
    <t>Sabine County, TX</t>
  </si>
  <si>
    <t>San Augustine County, TX</t>
  </si>
  <si>
    <t>San Jacinto County, TX</t>
  </si>
  <si>
    <t>San Patricio County, TX</t>
  </si>
  <si>
    <t>San Saba County, TX</t>
  </si>
  <si>
    <t>Schleicher County, TX</t>
  </si>
  <si>
    <t>Scurry County, TX</t>
  </si>
  <si>
    <t>Shackelford County, TX</t>
  </si>
  <si>
    <t>Shelby County, TX</t>
  </si>
  <si>
    <t>Sherman County, TX</t>
  </si>
  <si>
    <t>Smith County, TX</t>
  </si>
  <si>
    <t>Somervell County, TX</t>
  </si>
  <si>
    <t>Starr County, TX</t>
  </si>
  <si>
    <t>Stephens County, TX</t>
  </si>
  <si>
    <t>Sterling County, TX</t>
  </si>
  <si>
    <t>Stonewall County, TX</t>
  </si>
  <si>
    <t>Sutton County, TX</t>
  </si>
  <si>
    <t>Swisher County, TX</t>
  </si>
  <si>
    <t>Tarrant County, TX</t>
  </si>
  <si>
    <t>Taylor County, TX</t>
  </si>
  <si>
    <t>Terrell County, TX</t>
  </si>
  <si>
    <t>Terry County, TX</t>
  </si>
  <si>
    <t>Throckmorton County, TX</t>
  </si>
  <si>
    <t>Titus County, TX</t>
  </si>
  <si>
    <t>Tom Green County, TX</t>
  </si>
  <si>
    <t>Travis County, TX</t>
  </si>
  <si>
    <t>Trinity County, TX</t>
  </si>
  <si>
    <t>Tyler County, TX</t>
  </si>
  <si>
    <t>Upshur County, TX</t>
  </si>
  <si>
    <t>Upton County, TX</t>
  </si>
  <si>
    <t>Uvalde County, TX</t>
  </si>
  <si>
    <t>Val Verde County, TX</t>
  </si>
  <si>
    <t>Van Zandt County, TX</t>
  </si>
  <si>
    <t>Victoria County, TX</t>
  </si>
  <si>
    <t>Walker County, TX</t>
  </si>
  <si>
    <t>Waller County, TX</t>
  </si>
  <si>
    <t>Ward County, TX</t>
  </si>
  <si>
    <t>Washington County, TX</t>
  </si>
  <si>
    <t>Webb County, TX</t>
  </si>
  <si>
    <t>Wharton County, TX</t>
  </si>
  <si>
    <t>Wheeler County, TX</t>
  </si>
  <si>
    <t>Wichita County, TX</t>
  </si>
  <si>
    <t>Wilbarger County, TX</t>
  </si>
  <si>
    <t>Willacy County, TX</t>
  </si>
  <si>
    <t>Williamson County, TX</t>
  </si>
  <si>
    <t>Wilson County, TX</t>
  </si>
  <si>
    <t>Winkler County, TX</t>
  </si>
  <si>
    <t>Wise County, TX</t>
  </si>
  <si>
    <t>Wood County, TX</t>
  </si>
  <si>
    <t>Yoakum County, TX</t>
  </si>
  <si>
    <t>Young County, TX</t>
  </si>
  <si>
    <t>Zapata County, TX</t>
  </si>
  <si>
    <t>Zavala County, TX</t>
  </si>
  <si>
    <t>Beaver County, UT</t>
  </si>
  <si>
    <t>Box Elder County, UT</t>
  </si>
  <si>
    <t>Cache County, UT</t>
  </si>
  <si>
    <t>Carbon County, UT</t>
  </si>
  <si>
    <t>Daggett County, UT</t>
  </si>
  <si>
    <t>Davis County, UT</t>
  </si>
  <si>
    <t>Duchesne County, UT</t>
  </si>
  <si>
    <t>Emery County, UT</t>
  </si>
  <si>
    <t>Garfield County, UT</t>
  </si>
  <si>
    <t>Grand County, UT</t>
  </si>
  <si>
    <t>Iron County, UT</t>
  </si>
  <si>
    <t>Juab County, UT</t>
  </si>
  <si>
    <t>Kane County, UT</t>
  </si>
  <si>
    <t>Millard County, UT</t>
  </si>
  <si>
    <t>Morgan County, UT</t>
  </si>
  <si>
    <t>Piute County, UT</t>
  </si>
  <si>
    <t>Rich County, UT</t>
  </si>
  <si>
    <t>Salt Lake County, UT</t>
  </si>
  <si>
    <t>San Juan County, UT</t>
  </si>
  <si>
    <t>Sanpete County, UT</t>
  </si>
  <si>
    <t>Sevier County, UT</t>
  </si>
  <si>
    <t>Summit County, UT</t>
  </si>
  <si>
    <t>Tooele County, UT</t>
  </si>
  <si>
    <t>Uintah County, UT</t>
  </si>
  <si>
    <t>Utah County, UT</t>
  </si>
  <si>
    <t>Wasatch County, UT</t>
  </si>
  <si>
    <t>Washington County, UT</t>
  </si>
  <si>
    <t>Wayne County, UT</t>
  </si>
  <si>
    <t>Weber County, UT</t>
  </si>
  <si>
    <t>Addison County, VT</t>
  </si>
  <si>
    <t>Bennington County, VT</t>
  </si>
  <si>
    <t>Caledonia County, VT</t>
  </si>
  <si>
    <t>Chittenden County, VT</t>
  </si>
  <si>
    <t>Essex County, VT</t>
  </si>
  <si>
    <t>Franklin County, VT</t>
  </si>
  <si>
    <t>Grand Isle County, VT</t>
  </si>
  <si>
    <t>Lamoille County, VT</t>
  </si>
  <si>
    <t>Orange County, VT</t>
  </si>
  <si>
    <t>Orleans County, VT</t>
  </si>
  <si>
    <t>Rutland County, VT</t>
  </si>
  <si>
    <t>Washington County, VT</t>
  </si>
  <si>
    <t>Windham County, VT</t>
  </si>
  <si>
    <t>Windsor County, VT</t>
  </si>
  <si>
    <t>Accomack County, VA</t>
  </si>
  <si>
    <t>Albemarle County, VA</t>
  </si>
  <si>
    <t>Alleghany County, VA</t>
  </si>
  <si>
    <t>Amelia County, VA</t>
  </si>
  <si>
    <t>Amherst County, VA</t>
  </si>
  <si>
    <t>Appomattox County, VA</t>
  </si>
  <si>
    <t>Arlington County, VA</t>
  </si>
  <si>
    <t>Augusta County, VA</t>
  </si>
  <si>
    <t>Bath County, VA</t>
  </si>
  <si>
    <t>Bedford County, VA</t>
  </si>
  <si>
    <t>Bland County, VA</t>
  </si>
  <si>
    <t>Botetourt County, VA</t>
  </si>
  <si>
    <t>Brunswick County, VA</t>
  </si>
  <si>
    <t>Buchanan County, VA</t>
  </si>
  <si>
    <t>Buckingham County, VA</t>
  </si>
  <si>
    <t>Campbell County, VA</t>
  </si>
  <si>
    <t>Caroline County, VA</t>
  </si>
  <si>
    <t>Carroll County, VA</t>
  </si>
  <si>
    <t>Charles City County, VA</t>
  </si>
  <si>
    <t>Charlotte County, VA</t>
  </si>
  <si>
    <t>Chesterfield County, VA</t>
  </si>
  <si>
    <t>Clarke County, VA</t>
  </si>
  <si>
    <t>Craig County, VA</t>
  </si>
  <si>
    <t>Culpeper County, VA</t>
  </si>
  <si>
    <t>Cumberland County, VA</t>
  </si>
  <si>
    <t>Dickenson County, VA</t>
  </si>
  <si>
    <t>Dinwiddie County, VA</t>
  </si>
  <si>
    <t>Essex County, VA</t>
  </si>
  <si>
    <t>Fairfax County, VA</t>
  </si>
  <si>
    <t>Fauquier County, VA</t>
  </si>
  <si>
    <t>Floyd County, VA</t>
  </si>
  <si>
    <t>Fluvanna County, VA</t>
  </si>
  <si>
    <t>Franklin County, VA</t>
  </si>
  <si>
    <t>Frederick County, VA</t>
  </si>
  <si>
    <t>Giles County, VA</t>
  </si>
  <si>
    <t>Gloucester County, VA</t>
  </si>
  <si>
    <t>Goochland County, VA</t>
  </si>
  <si>
    <t>Grayson County, VA</t>
  </si>
  <si>
    <t>Greene County, VA</t>
  </si>
  <si>
    <t>Greensville County, VA</t>
  </si>
  <si>
    <t>Halifax County, VA</t>
  </si>
  <si>
    <t>Hanover County, VA</t>
  </si>
  <si>
    <t>Henrico County, VA</t>
  </si>
  <si>
    <t>Henry County, VA</t>
  </si>
  <si>
    <t>Highland County, VA</t>
  </si>
  <si>
    <t>Isle of Wight County, VA</t>
  </si>
  <si>
    <t>James City County, VA</t>
  </si>
  <si>
    <t>King and Queen County, VA</t>
  </si>
  <si>
    <t>King George County, VA</t>
  </si>
  <si>
    <t>King William County, VA</t>
  </si>
  <si>
    <t>Lancaster County, VA</t>
  </si>
  <si>
    <t>Lee County, VA</t>
  </si>
  <si>
    <t>Loudoun County, VA</t>
  </si>
  <si>
    <t>Louisa County, VA</t>
  </si>
  <si>
    <t>Lunenburg County, VA</t>
  </si>
  <si>
    <t>Madison County, VA</t>
  </si>
  <si>
    <t>Mathews County, VA</t>
  </si>
  <si>
    <t>Mecklenburg County, VA</t>
  </si>
  <si>
    <t>Middlesex County, VA</t>
  </si>
  <si>
    <t>Montgomery County, VA</t>
  </si>
  <si>
    <t>Nelson County, VA</t>
  </si>
  <si>
    <t>New Kent County, VA</t>
  </si>
  <si>
    <t>Northampton County, VA</t>
  </si>
  <si>
    <t>Northumberland County, VA</t>
  </si>
  <si>
    <t>Nottoway County, VA</t>
  </si>
  <si>
    <t>Orange County, VA</t>
  </si>
  <si>
    <t>Page County, VA</t>
  </si>
  <si>
    <t>Patrick County, VA</t>
  </si>
  <si>
    <t>Pittsylvania County, VA</t>
  </si>
  <si>
    <t>Powhatan County, VA</t>
  </si>
  <si>
    <t>Prince Edward County, VA</t>
  </si>
  <si>
    <t>Prince George County, VA</t>
  </si>
  <si>
    <t>Prince William County, VA</t>
  </si>
  <si>
    <t>Pulaski County, VA</t>
  </si>
  <si>
    <t>Rappahannock County, VA</t>
  </si>
  <si>
    <t>Richmond County, VA</t>
  </si>
  <si>
    <t>Roanoke County, VA</t>
  </si>
  <si>
    <t>Rockbridge County, VA</t>
  </si>
  <si>
    <t>Rockingham County, VA</t>
  </si>
  <si>
    <t>Russell County, VA</t>
  </si>
  <si>
    <t>Scott County, VA</t>
  </si>
  <si>
    <t>Shenandoah County, VA</t>
  </si>
  <si>
    <t>Smyth County, VA</t>
  </si>
  <si>
    <t>Southampton County, VA</t>
  </si>
  <si>
    <t>Spotsylvania County, VA</t>
  </si>
  <si>
    <t>Stafford County, VA</t>
  </si>
  <si>
    <t>Surry County, VA</t>
  </si>
  <si>
    <t>Sussex County, VA</t>
  </si>
  <si>
    <t>Tazewell County, VA</t>
  </si>
  <si>
    <t>Warren County, VA</t>
  </si>
  <si>
    <t>Washington County, VA</t>
  </si>
  <si>
    <t>Westmoreland County, VA</t>
  </si>
  <si>
    <t>Wise County, VA</t>
  </si>
  <si>
    <t>Wythe County, VA</t>
  </si>
  <si>
    <t>York County, VA</t>
  </si>
  <si>
    <t>Adams County, WA</t>
  </si>
  <si>
    <t>Asotin County, WA</t>
  </si>
  <si>
    <t>Benton County, WA</t>
  </si>
  <si>
    <t>Chelan County, WA</t>
  </si>
  <si>
    <t>Clallam County, WA</t>
  </si>
  <si>
    <t>Clark County, WA</t>
  </si>
  <si>
    <t>Columbia County, WA</t>
  </si>
  <si>
    <t>Cowlitz County, WA</t>
  </si>
  <si>
    <t>Douglas County, WA</t>
  </si>
  <si>
    <t>Ferry County, WA</t>
  </si>
  <si>
    <t>Franklin County, WA</t>
  </si>
  <si>
    <t>Garfield County, WA</t>
  </si>
  <si>
    <t>Grant County, WA</t>
  </si>
  <si>
    <t>Grays Harbor County, WA</t>
  </si>
  <si>
    <t>Island County, WA</t>
  </si>
  <si>
    <t>Jefferson County, WA</t>
  </si>
  <si>
    <t>King County, WA</t>
  </si>
  <si>
    <t>Kitsap County, WA</t>
  </si>
  <si>
    <t>Kittitas County, WA</t>
  </si>
  <si>
    <t>Klickitat County, WA</t>
  </si>
  <si>
    <t>Lewis County, WA</t>
  </si>
  <si>
    <t>Lincoln County, WA</t>
  </si>
  <si>
    <t>Mason County, WA</t>
  </si>
  <si>
    <t>Okanogan County, WA</t>
  </si>
  <si>
    <t>Pacific County, WA</t>
  </si>
  <si>
    <t>Pend Oreille County, WA</t>
  </si>
  <si>
    <t>Pierce County, WA</t>
  </si>
  <si>
    <t>San Juan County, WA</t>
  </si>
  <si>
    <t>Skagit County, WA</t>
  </si>
  <si>
    <t>Skamania County, WA</t>
  </si>
  <si>
    <t>Snohomish County, WA</t>
  </si>
  <si>
    <t>Spokane County, WA</t>
  </si>
  <si>
    <t>Stevens County, WA</t>
  </si>
  <si>
    <t>Thurston County, WA</t>
  </si>
  <si>
    <t>Wahkiakum County, WA</t>
  </si>
  <si>
    <t>Walla Walla County, WA</t>
  </si>
  <si>
    <t>Whatcom County, WA</t>
  </si>
  <si>
    <t>Whitman County, WA</t>
  </si>
  <si>
    <t>Yakima County, WA</t>
  </si>
  <si>
    <t>Barbour County, WV</t>
  </si>
  <si>
    <t>Berkeley County, WV</t>
  </si>
  <si>
    <t>Boone County, WV</t>
  </si>
  <si>
    <t>Braxton County, WV</t>
  </si>
  <si>
    <t>Brooke County, WV</t>
  </si>
  <si>
    <t>Cabell County, WV</t>
  </si>
  <si>
    <t>Calhoun County, WV</t>
  </si>
  <si>
    <t>Clay County, WV</t>
  </si>
  <si>
    <t>Doddridge County, WV</t>
  </si>
  <si>
    <t>Fayette County, WV</t>
  </si>
  <si>
    <t>Gilmer County, WV</t>
  </si>
  <si>
    <t>Grant County, WV</t>
  </si>
  <si>
    <t>Greenbrier County, WV</t>
  </si>
  <si>
    <t>Hampshire County, WV</t>
  </si>
  <si>
    <t>Hancock County, WV</t>
  </si>
  <si>
    <t>Hardy County, WV</t>
  </si>
  <si>
    <t>Harrison County, WV</t>
  </si>
  <si>
    <t>Jackson County, WV</t>
  </si>
  <si>
    <t>Jefferson County, WV</t>
  </si>
  <si>
    <t>Kanawha County, WV</t>
  </si>
  <si>
    <t>Lewis County, WV</t>
  </si>
  <si>
    <t>Lincoln County, WV</t>
  </si>
  <si>
    <t>Logan County, WV</t>
  </si>
  <si>
    <t>Marion County, WV</t>
  </si>
  <si>
    <t>Marshall County, WV</t>
  </si>
  <si>
    <t>Mason County, WV</t>
  </si>
  <si>
    <t>McDowell County, WV</t>
  </si>
  <si>
    <t>Mercer County, WV</t>
  </si>
  <si>
    <t>Mineral County, WV</t>
  </si>
  <si>
    <t>Mingo County, WV</t>
  </si>
  <si>
    <t>Monongalia County, WV</t>
  </si>
  <si>
    <t>Monroe County, WV</t>
  </si>
  <si>
    <t>Morgan County, WV</t>
  </si>
  <si>
    <t>Nicholas County, WV</t>
  </si>
  <si>
    <t>Ohio County, WV</t>
  </si>
  <si>
    <t>Pendleton County, WV</t>
  </si>
  <si>
    <t>Pleasants County, WV</t>
  </si>
  <si>
    <t>Pocahontas County, WV</t>
  </si>
  <si>
    <t>Preston County, WV</t>
  </si>
  <si>
    <t>Putnam County, WV</t>
  </si>
  <si>
    <t>Raleigh County, WV</t>
  </si>
  <si>
    <t>Randolph County, WV</t>
  </si>
  <si>
    <t>Ritchie County, WV</t>
  </si>
  <si>
    <t>Roane County, WV</t>
  </si>
  <si>
    <t>Summers County, WV</t>
  </si>
  <si>
    <t>Taylor County, WV</t>
  </si>
  <si>
    <t>Tucker County, WV</t>
  </si>
  <si>
    <t>Tyler County, WV</t>
  </si>
  <si>
    <t>Upshur County, WV</t>
  </si>
  <si>
    <t>Wayne County, WV</t>
  </si>
  <si>
    <t>Webster County, WV</t>
  </si>
  <si>
    <t>Wetzel County, WV</t>
  </si>
  <si>
    <t>Wirt County, WV</t>
  </si>
  <si>
    <t>Wood County, WV</t>
  </si>
  <si>
    <t>Wyoming County, WV</t>
  </si>
  <si>
    <t>Adams County, WI</t>
  </si>
  <si>
    <t>Ashland County, WI</t>
  </si>
  <si>
    <t>Barron County, WI</t>
  </si>
  <si>
    <t>Bayfield County, WI</t>
  </si>
  <si>
    <t>Brown County, WI</t>
  </si>
  <si>
    <t>Buffalo County, WI</t>
  </si>
  <si>
    <t>Burnett County, WI</t>
  </si>
  <si>
    <t>Calumet County, WI</t>
  </si>
  <si>
    <t>Chippewa County, WI</t>
  </si>
  <si>
    <t>Clark County, WI</t>
  </si>
  <si>
    <t>Columbia County, WI</t>
  </si>
  <si>
    <t>Crawford County, WI</t>
  </si>
  <si>
    <t>Dane County, WI</t>
  </si>
  <si>
    <t>Dodge County, WI</t>
  </si>
  <si>
    <t>Door County, WI</t>
  </si>
  <si>
    <t>Douglas County, WI</t>
  </si>
  <si>
    <t>Dunn County, WI</t>
  </si>
  <si>
    <t>Eau Claire County, WI</t>
  </si>
  <si>
    <t>Florence County, WI</t>
  </si>
  <si>
    <t>Fond du Lac County, WI</t>
  </si>
  <si>
    <t>Forest County, WI</t>
  </si>
  <si>
    <t>Grant County, WI</t>
  </si>
  <si>
    <t>Green County, WI</t>
  </si>
  <si>
    <t>Green Lake County, WI</t>
  </si>
  <si>
    <t>Iowa County, WI</t>
  </si>
  <si>
    <t>Iron County, WI</t>
  </si>
  <si>
    <t>Jackson County, WI</t>
  </si>
  <si>
    <t>Jefferson County, WI</t>
  </si>
  <si>
    <t>Juneau County, WI</t>
  </si>
  <si>
    <t>Kenosha County, WI</t>
  </si>
  <si>
    <t>Kewaunee County, WI</t>
  </si>
  <si>
    <t>La Crosse County, WI</t>
  </si>
  <si>
    <t>Lafayette County, WI</t>
  </si>
  <si>
    <t>Langlade County, WI</t>
  </si>
  <si>
    <t>Lincoln County, WI</t>
  </si>
  <si>
    <t>Manitowoc County, WI</t>
  </si>
  <si>
    <t>Marathon County, WI</t>
  </si>
  <si>
    <t>Marinette County, WI</t>
  </si>
  <si>
    <t>Marquette County, WI</t>
  </si>
  <si>
    <t>Menominee County, WI</t>
  </si>
  <si>
    <t>Milwaukee County, WI</t>
  </si>
  <si>
    <t>Monroe County, WI</t>
  </si>
  <si>
    <t>Oconto County, WI</t>
  </si>
  <si>
    <t>Oneida County, WI</t>
  </si>
  <si>
    <t>Outagamie County, WI</t>
  </si>
  <si>
    <t>Ozaukee County, WI</t>
  </si>
  <si>
    <t>Pepin County, WI</t>
  </si>
  <si>
    <t>Pierce County, WI</t>
  </si>
  <si>
    <t>Polk County, WI</t>
  </si>
  <si>
    <t>Portage County, WI</t>
  </si>
  <si>
    <t>Price County, WI</t>
  </si>
  <si>
    <t>Racine County, WI</t>
  </si>
  <si>
    <t>Richland County, WI</t>
  </si>
  <si>
    <t>Rock County, WI</t>
  </si>
  <si>
    <t>Rusk County, WI</t>
  </si>
  <si>
    <t>Sauk County, WI</t>
  </si>
  <si>
    <t>Sawyer County, WI</t>
  </si>
  <si>
    <t>Shawano County, WI</t>
  </si>
  <si>
    <t>Sheboygan County, WI</t>
  </si>
  <si>
    <t>St. Croix County, WI</t>
  </si>
  <si>
    <t>Taylor County, WI</t>
  </si>
  <si>
    <t>Trempealeau County, WI</t>
  </si>
  <si>
    <t>Vernon County, WI</t>
  </si>
  <si>
    <t>Vilas County, WI</t>
  </si>
  <si>
    <t>Walworth County, WI</t>
  </si>
  <si>
    <t>Washburn County, WI</t>
  </si>
  <si>
    <t>Washington County, WI</t>
  </si>
  <si>
    <t>Waukesha County, WI</t>
  </si>
  <si>
    <t>Waupaca County, WI</t>
  </si>
  <si>
    <t>Waushara County, WI</t>
  </si>
  <si>
    <t>Winnebago County, WI</t>
  </si>
  <si>
    <t>Wood County, WI</t>
  </si>
  <si>
    <t>Albany County, WY</t>
  </si>
  <si>
    <t>Big Horn County, WY</t>
  </si>
  <si>
    <t>Campbell County, WY</t>
  </si>
  <si>
    <t>Carbon County, WY</t>
  </si>
  <si>
    <t>Converse County, WY</t>
  </si>
  <si>
    <t>Crook County, WY</t>
  </si>
  <si>
    <t>Fremont County, WY</t>
  </si>
  <si>
    <t>Goshen County, WY</t>
  </si>
  <si>
    <t>Hot Springs County, WY</t>
  </si>
  <si>
    <t>Johnson County, WY</t>
  </si>
  <si>
    <t>Laramie County, WY</t>
  </si>
  <si>
    <t>Lincoln County, WY</t>
  </si>
  <si>
    <t>Natrona County, WY</t>
  </si>
  <si>
    <t>Niobrara County, WY</t>
  </si>
  <si>
    <t>Park County, WY</t>
  </si>
  <si>
    <t>Platte County, WY</t>
  </si>
  <si>
    <t>Sheridan County, WY</t>
  </si>
  <si>
    <t>Sublette County, WY</t>
  </si>
  <si>
    <t>Sweetwater County, WY</t>
  </si>
  <si>
    <t>Teton County, WY</t>
  </si>
  <si>
    <t>Uinta County, WY</t>
  </si>
  <si>
    <t>Washakie County, WY</t>
  </si>
  <si>
    <t>Weston County, WY</t>
  </si>
  <si>
    <t>Metastatic breast cancer</t>
  </si>
  <si>
    <t>SESSION - TOPIC 1</t>
  </si>
  <si>
    <t>SESSION - TOPIC 2</t>
  </si>
  <si>
    <t>COORDINATION OF CARE TO RECEIVE DIAGNOSTIC SERVICES                            Count</t>
  </si>
  <si>
    <t>COORDINATION OF CARE TO BEGIN TREATMENT SERVICES                            Count</t>
  </si>
  <si>
    <t xml:space="preserve"> CARE COORDINATION /                 CASE MANAGEMENT SUPPORT</t>
  </si>
  <si>
    <t>TOTAL INDIVIDUALS WHO RECEIVED CARE COORDINATION                              Count</t>
  </si>
  <si>
    <t>Indivdual ID</t>
  </si>
  <si>
    <t>Demographics of Individual Served</t>
  </si>
  <si>
    <t>Education</t>
  </si>
  <si>
    <t>Community Health Worker and Health Care Provider Trainings</t>
  </si>
  <si>
    <t>Screening</t>
  </si>
  <si>
    <t>Diagnosis</t>
  </si>
  <si>
    <t>Treatment Support</t>
  </si>
  <si>
    <t>Assistance Provided to Remove Barriers</t>
  </si>
  <si>
    <t>Community Navigation to Screening</t>
  </si>
  <si>
    <t>Patient Navigation from Abnormal Screening to Diagnostic Resolution</t>
  </si>
  <si>
    <t>Patient Navigation from Diagnostic Resolution through Treatment</t>
  </si>
  <si>
    <t>Care Coordination &amp; Case Management</t>
  </si>
  <si>
    <t>Demographics is where you will enter patient location, age, gender, race/ethnicity and special population information. Beginning in Demographics, most of the columns and information entered will require you to choose from a list of drop-downs. Demographic information must be entered for all individuals served, with an exception for provider trainings (see the provider training section below).</t>
  </si>
  <si>
    <t>Only diagnostic services that were provided with Komen funding should be entered. Here you will enter the range of time it took for the patient to receive diagnostic services after abnormal screening, the type of accreditation the facility has (or if they have no accreditation), the type of diagnostic services received, if the individual was diagnosed with breast cancer and the stage, and if they were referred to treatment.</t>
  </si>
  <si>
    <r>
      <rPr>
        <b/>
        <sz val="11"/>
        <color theme="1"/>
        <rFont val="Calibri"/>
        <family val="2"/>
        <scheme val="minor"/>
      </rPr>
      <t>Diagnostic Resolution Definition</t>
    </r>
    <r>
      <rPr>
        <sz val="11"/>
        <color theme="1"/>
        <rFont val="Calibri"/>
        <family val="2"/>
        <scheme val="minor"/>
      </rPr>
      <t>: Diagnostic resolution is defined as the point in time of a definitive diagnosis, when a breast cancer diagnosis or a non-cancer diagnosis is determined after getting results of necessary tests, such as a biopsy.</t>
    </r>
  </si>
  <si>
    <t>This is where activities and services such as durable medical equipment, psychosocial counseling, and complementary and integrative therapies, such as massage therapy and medical nutrition therapy, should be entered.</t>
  </si>
  <si>
    <t>This is where you will enter any service provided that enables an individual to receive screening, diagnostic or treatment services. Services that belong here are transportation, language services, co-pay or deductible assistance, child care and daily living expenses such as meals, rent, utilities or lodging.</t>
  </si>
  <si>
    <r>
      <t xml:space="preserve">For patient navigation from abnormal screening to diagnostic resolution, you will enter the time range it took for the individual to receive diagnostic resolution after abnormal screening, accreditation status and if they were diagnosed with breast cancer. </t>
    </r>
    <r>
      <rPr>
        <i/>
        <sz val="11"/>
        <color theme="1"/>
        <rFont val="Calibri"/>
        <family val="2"/>
        <scheme val="minor"/>
      </rPr>
      <t xml:space="preserve">Note:  this should only include navigators whose salaries/time are paid with Komen funds. </t>
    </r>
  </si>
  <si>
    <r>
      <t xml:space="preserve">For navigation into screening, you will enter the time range it took for the individual to receive screening from time of referral, type of accreditation the facility has that the individual was navigated to for screening, and if the navigation led to a breast cancer diagnosis (even if the navigation ended at screening). If you also provided screening services funded by Komen, I know this seems like duplicate information and you may have already entered some of this data in the Screening section. But, if you provided navigation with Komen funds, please enter the information here again.  </t>
    </r>
    <r>
      <rPr>
        <i/>
        <sz val="11"/>
        <color theme="1"/>
        <rFont val="Calibri"/>
        <family val="2"/>
        <scheme val="minor"/>
      </rPr>
      <t xml:space="preserve">Note:  this should only include navigators whose salaries/time are paid with Komen funds. </t>
    </r>
  </si>
  <si>
    <t>BICOE (Breast Imaging Center of Excellence)</t>
  </si>
  <si>
    <t>NAPBC (National Accreditation Program for Breast Centers)</t>
  </si>
  <si>
    <t xml:space="preserve">BICOE (Breast Imaging Center of Excellence) </t>
  </si>
  <si>
    <r>
      <t xml:space="preserve">Accreditation Links - </t>
    </r>
    <r>
      <rPr>
        <sz val="11"/>
        <color theme="1"/>
        <rFont val="Calibri"/>
        <family val="2"/>
        <scheme val="minor"/>
      </rPr>
      <t>Use the links below for more inforamation about each accreditation and to search for an accredited facility.</t>
    </r>
  </si>
  <si>
    <t xml:space="preserve">NCI (NCI-Designated Cancer Centers) </t>
  </si>
  <si>
    <t xml:space="preserve">CoC (Commission on Cancer) </t>
  </si>
  <si>
    <r>
      <t xml:space="preserve">The first column is where you will enter a unique patient identifier or patient name. As you begin to scroll across the page, you’ll notice that the Individual ID column is frozen so that you can see which individual you are entering information for throughout the entire sheet.  </t>
    </r>
    <r>
      <rPr>
        <i/>
        <sz val="11"/>
        <color theme="1"/>
        <rFont val="Calibri"/>
        <family val="2"/>
        <scheme val="minor"/>
      </rPr>
      <t xml:space="preserve">Note:  you will not report individual patient information to Komen. This column is for your tracking and entry purposes only. </t>
    </r>
  </si>
  <si>
    <t xml:space="preserve">SERVICE ENTRY WORKSHEET INSTRUCTIONS </t>
  </si>
  <si>
    <r>
      <t xml:space="preserve">The workbook has 3 main components:  There is an </t>
    </r>
    <r>
      <rPr>
        <b/>
        <sz val="11"/>
        <color theme="1"/>
        <rFont val="Calibri"/>
        <family val="2"/>
        <scheme val="minor"/>
      </rPr>
      <t>Instruction</t>
    </r>
    <r>
      <rPr>
        <sz val="11"/>
        <color theme="1"/>
        <rFont val="Calibri"/>
        <family val="2"/>
        <scheme val="minor"/>
      </rPr>
      <t xml:space="preserve"> worksheet, a </t>
    </r>
    <r>
      <rPr>
        <b/>
        <sz val="11"/>
        <color theme="1"/>
        <rFont val="Calibri"/>
        <family val="2"/>
        <scheme val="minor"/>
      </rPr>
      <t>Service Entry</t>
    </r>
    <r>
      <rPr>
        <sz val="11"/>
        <color theme="1"/>
        <rFont val="Calibri"/>
        <family val="2"/>
        <scheme val="minor"/>
      </rPr>
      <t xml:space="preserve"> worksheet, and the </t>
    </r>
    <r>
      <rPr>
        <b/>
        <sz val="11"/>
        <color theme="1"/>
        <rFont val="Calibri"/>
        <family val="2"/>
        <scheme val="minor"/>
      </rPr>
      <t>Report</t>
    </r>
    <r>
      <rPr>
        <sz val="11"/>
        <color theme="1"/>
        <rFont val="Calibri"/>
        <family val="2"/>
        <scheme val="minor"/>
      </rPr>
      <t xml:space="preserve"> Worksheets. The Service Entry Worksheet is the worksheet where grantees will enter ALL service data.  No other worksheet allows any data entry. The Report Worksheets will automatically tally the results from services provided and provide reports summarizing all of the information entered into the Service Entry worksheet. The workbook is designed to allow you to enter data as you provide services for individuals who receive Komen-funded services. Grantees only have to enter data in the Service Entry Worksheet once and the workbook does all the work for you. Each Report creates cumulative totals. When it’s time to provide progress and final reports to Komen, the reporting information simply has to be entered into our grants management system known as GeMS. No messy totaling or running reports to get the numbers </t>
    </r>
    <r>
      <rPr>
        <b/>
        <u/>
        <sz val="11"/>
        <color theme="1"/>
        <rFont val="Calibri"/>
        <family val="2"/>
        <scheme val="minor"/>
      </rPr>
      <t>if you use this tracking sheet</t>
    </r>
    <r>
      <rPr>
        <sz val="11"/>
        <color theme="1"/>
        <rFont val="Calibri"/>
        <family val="2"/>
        <scheme val="minor"/>
      </rPr>
      <t>. The reports that are you are required to complete will populate in GeMS based on Grantees’ selections on the Work Plan Page in GeMS in the application. You will only see Reports in GeMS that apply to your services.</t>
    </r>
  </si>
  <si>
    <t>If patient navigation was not provided with Komen funding, but Komen funds were used for salaries for staff who coordinated care or provided case management services, you will enter that in Care Coordination &amp; Case Management  by simply choosing in the drop downs if they received either care coordination or case management during diagnostics and/or treatment.</t>
  </si>
  <si>
    <t>Here you will enter all individuals who were educated through activities funded through your Komen grant. Notice that you are required to report on follow-up and action taken by each individual who was educated. If it was a group education session, please provide a separate entry for each person who attended the education session. For the first person listed in the group education, you will choose “Group session” from the Type of Session drop down. For every other person in the group, you will choose “Part of group session listed above” from the Type of Session drop down. For "Number of Individuals Educated in Session", you only have to enter the total number in the Group session on the first entry. It can be left blank for all individuals that are "Part of group session listed above". For One-on-One education sessions, enter the number educated (this may be more than 1 if the participant has family or friends with them who are also receiving the education. However, you will not be following up with the family or friends so there is no need for a separate entry to document follow-up or action taken for anyone other than the primary individual being educated.) If no follow-up was completed, leave the column "Action Taken by Individual" blank.</t>
  </si>
  <si>
    <t>EDUCATION                                                                                                                                                                                                                                                                                                                                    (only enter education if the education staff or education activities are funded by Komen)</t>
  </si>
  <si>
    <t>SCREENING                                                                                                                                                                                                                                                                                                                                                                                                      (only enter screening information for services that are funded by Komen)</t>
  </si>
  <si>
    <t>Only screening services that were provided with Komen funding should be entered. Here you will enter if this is the patient’s first time to the facility, number of years since their last screening, the type of accreditation the facility has (or if they have no accreditation), the type of screening services received, screening results, if they were referred to diagnostics and if the screening led to a breast cancer diagnosis. You’ll enter if the screening led to a breast cancer diagnosis even if the diagnostic services were not paid for with Komen funding or was provided by another health care organization.</t>
  </si>
  <si>
    <t>DIAGNOSIS                                                                                                                                                                                                                                                                             (only enter diagnostic information for services that are funded by Komen)</t>
  </si>
  <si>
    <t>TREATMENT                                                                                                                                                                                                                                                                                                      (only enter treatment information for services that are funded by Komen)</t>
  </si>
  <si>
    <t>TREATMENT SUPPORT                                                                                                                                (only enter treatment support  information for services that are funded by Komen)</t>
  </si>
  <si>
    <t>ASSISTANCE PROVIDED TO REMOVE BARRIERS                                                                                                                                                            (only enter information for services that are funded by Komen)</t>
  </si>
  <si>
    <t>CARE COORDINATION &amp; CASE MANAGEMENT                                                          (Only use if Patient Navigation not provided AND only enter if staff providing the care coordination or case management are funded by Komen)</t>
  </si>
  <si>
    <t>PATIENT NAVIGATION FROM ABNORMAL SCREENING TO DIAGNOSTIC RESOLUTION                             (only enter patient navigation information if patient navigation staff are funded by Komen)</t>
  </si>
  <si>
    <t>PATIENT NAVIGATION FROM DIAGNOSTIC RESOLUTION THROUGH TREATMENT                                                                                                                                                                                 (only enter patient navigation information if patient navigation staff are funded by Komen)</t>
  </si>
  <si>
    <t>COMMUNITY NAVIGATION TO SCREENING                                                                                                                                   (only enter patient navigation information if patient navigation staff are funded by Komen)</t>
  </si>
  <si>
    <t>NUMBER OF COMMUNITY HEALTH WORKERS TRAINED</t>
  </si>
  <si>
    <t>NUMBER OF LAY EDUCATORS TRAINED</t>
  </si>
  <si>
    <t>NUMBER OF PATIENT NAVIGATORS TRAINED</t>
  </si>
  <si>
    <t>NUMBER OF SOCIAL WORKERS TRAINED</t>
  </si>
  <si>
    <t>NUMBER OF NURSES TRAINED</t>
  </si>
  <si>
    <t>NUMBER OF TECHNICIANS TRAINED</t>
  </si>
  <si>
    <t>NUMBER OF NURSE PRACTIONERS/PHYSICIAN'S ASSISTANTS TRAINED</t>
  </si>
  <si>
    <t>NUMBER OF DOCTORS TRAINED</t>
  </si>
  <si>
    <t>Community Health Worker and Health Care Provider Trainings is where you will enter total number of each type of provides trained per session versus individual entries in the previous Education session. You will not have to enter any demographic information for provider trainings since they are recorded in groups by type of provider, not as individuals.</t>
  </si>
  <si>
    <t>You will not need to enter any data into GeMS from these four rows</t>
  </si>
  <si>
    <r>
      <t>The first columns in patient navigation from diagnostic resolution through treatment are the same as the first two navigation sections. You’ll choose the time range it took for the individual to initiate treatment after diagnostic resolution, and accreditation status as in the previous two patient navigation sections. There are four additional columns where you’ll choose in the drop downs 1) if the patient was enrolled in a clinical trial, 2) if they completed the physician recommended treatment plan, 3) if a survivorship care plan was provided, and 4) if breast cancer treatment records were provided to their primary care provider.</t>
    </r>
    <r>
      <rPr>
        <i/>
        <sz val="11"/>
        <color theme="1"/>
        <rFont val="Calibri"/>
        <family val="2"/>
        <scheme val="minor"/>
      </rPr>
      <t xml:space="preserve"> Note:  this should only include navigators whose salaries/time are paid with Komen funds.  Additional Note:  In the Patient Navigation Report, in the Accreditation of Treatment Facilities Navigated To table, there four rows that have an accreditation BICOE listed. Please disregard these four rows with this accreditation. You will not have any information to enter here. </t>
    </r>
  </si>
  <si>
    <r>
      <t xml:space="preserve">Only breast cancer treatment services that were provided with Komen funding should be entered. Note, do not enter treatment support services in this section – only clinical services used to treat breast cancer. Here you will enter the range of time it took for the patient to begin breast cancer treatment after diagnosis, the type of accreditation the facility has (or if they have no accreditation), the type of treatment services received and if they were enrolled in a clinical trial for breast cancer treatment. This concludes the sections for clinical services. The section immediately following – Treatment Support - is where activities and services such as durable medical equipment, psychosocial counseling, and complementary and integrative therapies, such as massage therapy and medical nutrition therapy, should be entered. </t>
    </r>
    <r>
      <rPr>
        <i/>
        <sz val="11"/>
        <color theme="1"/>
        <rFont val="Calibri"/>
        <family val="2"/>
        <scheme val="minor"/>
      </rPr>
      <t xml:space="preserve">Note: in the Treatment Services Report, in the Treatment Facility Accreditation table, there four rows that have an accreditation BICOE listed. Please disregard these four rows with this accreditation. You will not have any information to enter here. </t>
    </r>
  </si>
  <si>
    <t>TYPE OF TREATMENT SERVICE FUNDED</t>
  </si>
  <si>
    <t>TYPE OF TREATMENT SUPPORT FUNDED</t>
  </si>
  <si>
    <t xml:space="preserve">DATE OF EDUCATION </t>
  </si>
  <si>
    <t xml:space="preserve">COMMUNITY HEALTH WORKER AND HEALTH CARE PROVIDER TRAININGS                                                                                                                                                                                                                                                                                                                                                                                                             (only enter trainings if the staff or training activities are funded by Komen)                </t>
  </si>
  <si>
    <t>IS IT THE PATIENT'S FIRST TIME TO THIS FACILITY</t>
  </si>
  <si>
    <t>TYPE OF DIAGNOSTIC SERVICE FUNDED</t>
  </si>
  <si>
    <t>TYPE OF SCREENING SERVICE FUNDED</t>
  </si>
  <si>
    <t>TYPE OF ASSISTANCE FUNDED</t>
  </si>
  <si>
    <t>CARE COORDINATION PROVIDED</t>
  </si>
  <si>
    <r>
      <t xml:space="preserve">SCREENING LED TO A BREAST CANCER DIAGNOSIS                                                                                               </t>
    </r>
    <r>
      <rPr>
        <sz val="11"/>
        <color theme="1"/>
        <rFont val="Arial"/>
        <family val="2"/>
      </rPr>
      <t xml:space="preserve">(only use if </t>
    </r>
    <r>
      <rPr>
        <b/>
        <u/>
        <sz val="11"/>
        <color theme="1"/>
        <rFont val="Arial"/>
        <family val="2"/>
      </rPr>
      <t>not</t>
    </r>
    <r>
      <rPr>
        <sz val="11"/>
        <color theme="1"/>
        <rFont val="Arial"/>
        <family val="2"/>
      </rPr>
      <t xml:space="preserve"> providing </t>
    </r>
    <r>
      <rPr>
        <b/>
        <sz val="11"/>
        <color theme="1"/>
        <rFont val="Arial"/>
        <family val="2"/>
      </rPr>
      <t>diagnostic</t>
    </r>
    <r>
      <rPr>
        <sz val="11"/>
        <color theme="1"/>
        <rFont val="Arial"/>
        <family val="2"/>
      </rPr>
      <t xml:space="preserve"> services)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</si>
</sst>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1"/>
      <color theme="0"/>
      <name val="Arial"/>
      <family val="2"/>
    </font>
    <font>
      <b/>
      <sz val="11"/>
      <name val="Arial"/>
      <family val="2"/>
    </font>
    <font>
      <b/>
      <sz val="11"/>
      <color theme="0"/>
      <name val="Calibri"/>
      <family val="2"/>
      <scheme val="minor"/>
    </font>
    <font>
      <sz val="9"/>
      <color indexed="81"/>
      <name val="Tahoma"/>
      <family val="2"/>
    </font>
    <font>
      <b/>
      <sz val="9"/>
      <color indexed="81"/>
      <name val="Tahoma"/>
      <family val="2"/>
    </font>
    <font>
      <b/>
      <u/>
      <sz val="11"/>
      <color theme="1"/>
      <name val="Arial"/>
      <family val="2"/>
    </font>
    <font>
      <sz val="11"/>
      <color theme="0"/>
      <name val="Calibri"/>
      <family val="2"/>
      <scheme val="minor"/>
    </font>
    <font>
      <i/>
      <sz val="11"/>
      <color theme="1"/>
      <name val="Calibri"/>
      <family val="2"/>
      <scheme val="minor"/>
    </font>
    <font>
      <u/>
      <sz val="11"/>
      <color theme="10"/>
      <name val="Calibri"/>
      <family val="2"/>
      <scheme val="minor"/>
    </font>
    <font>
      <b/>
      <u/>
      <sz val="11"/>
      <color theme="1"/>
      <name val="Calibri"/>
      <family val="2"/>
      <scheme val="minor"/>
    </font>
    <font>
      <b/>
      <sz val="11"/>
      <color rgb="FFFF0000"/>
      <name val="Arial"/>
      <family val="2"/>
    </font>
    <font>
      <sz val="11"/>
      <color rgb="FFFF0000"/>
      <name val="Arial"/>
      <family val="2"/>
    </font>
  </fonts>
  <fills count="44">
    <fill>
      <patternFill patternType="none"/>
    </fill>
    <fill>
      <patternFill patternType="gray125"/>
    </fill>
    <fill>
      <patternFill patternType="solid">
        <fgColor theme="2"/>
        <bgColor indexed="64"/>
      </patternFill>
    </fill>
    <fill>
      <patternFill patternType="solid">
        <fgColor theme="2"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6"/>
        <bgColor indexed="64"/>
      </patternFill>
    </fill>
    <fill>
      <patternFill patternType="solid">
        <fgColor theme="7"/>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bgColor indexed="64"/>
      </patternFill>
    </fill>
    <fill>
      <patternFill patternType="solid">
        <fgColor theme="9" tint="0.79998168889431442"/>
        <bgColor indexed="64"/>
      </patternFill>
    </fill>
    <fill>
      <patternFill patternType="solid">
        <fgColor theme="9"/>
        <bgColor indexed="64"/>
      </patternFill>
    </fill>
    <fill>
      <patternFill patternType="solid">
        <fgColor theme="6" tint="0.59999389629810485"/>
        <bgColor indexed="64"/>
      </patternFill>
    </fill>
    <fill>
      <patternFill patternType="solid">
        <fgColor theme="2"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71CE"/>
        <bgColor indexed="64"/>
      </patternFill>
    </fill>
    <fill>
      <patternFill patternType="solid">
        <fgColor rgb="FFFFBFE2"/>
        <bgColor indexed="64"/>
      </patternFill>
    </fill>
    <fill>
      <patternFill patternType="solid">
        <fgColor rgb="FFC1E3FF"/>
        <bgColor indexed="64"/>
      </patternFill>
    </fill>
    <fill>
      <patternFill patternType="solid">
        <fgColor rgb="FF77777A"/>
        <bgColor indexed="64"/>
      </patternFill>
    </fill>
    <fill>
      <patternFill patternType="solid">
        <fgColor rgb="FFF38B00"/>
        <bgColor indexed="64"/>
      </patternFill>
    </fill>
    <fill>
      <patternFill patternType="solid">
        <fgColor rgb="FFFFE8C8"/>
        <bgColor indexed="64"/>
      </patternFill>
    </fill>
    <fill>
      <patternFill patternType="solid">
        <fgColor rgb="FFFFD193"/>
        <bgColor indexed="64"/>
      </patternFill>
    </fill>
    <fill>
      <patternFill patternType="solid">
        <fgColor rgb="FFD9D9D9"/>
        <bgColor indexed="64"/>
      </patternFill>
    </fill>
    <fill>
      <patternFill patternType="solid">
        <fgColor rgb="FF5ADECE"/>
        <bgColor indexed="64"/>
      </patternFill>
    </fill>
    <fill>
      <patternFill patternType="solid">
        <fgColor rgb="FFFF82C7"/>
        <bgColor indexed="64"/>
      </patternFill>
    </fill>
    <fill>
      <patternFill patternType="solid">
        <fgColor rgb="FFFF42AA"/>
        <bgColor indexed="64"/>
      </patternFill>
    </fill>
    <fill>
      <patternFill patternType="solid">
        <fgColor rgb="FFC9AEE6"/>
        <bgColor indexed="64"/>
      </patternFill>
    </fill>
    <fill>
      <patternFill patternType="solid">
        <fgColor rgb="FF783CBD"/>
        <bgColor indexed="64"/>
      </patternFill>
    </fill>
    <fill>
      <patternFill patternType="solid">
        <fgColor rgb="FF84C8FF"/>
        <bgColor indexed="64"/>
      </patternFill>
    </fill>
    <fill>
      <patternFill patternType="solid">
        <fgColor rgb="FF1E988A"/>
        <bgColor indexed="64"/>
      </patternFill>
    </fill>
    <fill>
      <patternFill patternType="solid">
        <fgColor rgb="FF91EADF"/>
        <bgColor indexed="64"/>
      </patternFill>
    </fill>
    <fill>
      <patternFill patternType="solid">
        <fgColor rgb="FFC8F4E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indexed="64"/>
      </left>
      <right/>
      <top style="thin">
        <color indexed="64"/>
      </top>
      <bottom/>
      <diagonal/>
    </border>
  </borders>
  <cellStyleXfs count="2">
    <xf numFmtId="0" fontId="0" fillId="0" borderId="0"/>
    <xf numFmtId="0" fontId="12" fillId="0" borderId="0" applyNumberFormat="0" applyFill="0" applyBorder="0" applyAlignment="0" applyProtection="0"/>
  </cellStyleXfs>
  <cellXfs count="454">
    <xf numFmtId="0" fontId="0" fillId="0" borderId="0" xfId="0"/>
    <xf numFmtId="0" fontId="1" fillId="0" borderId="0" xfId="0" applyFont="1"/>
    <xf numFmtId="15" fontId="0" fillId="0" borderId="0" xfId="0" applyNumberFormat="1"/>
    <xf numFmtId="0" fontId="3" fillId="0" borderId="0" xfId="0" applyFont="1"/>
    <xf numFmtId="0" fontId="3" fillId="0" borderId="0" xfId="0" applyFont="1" applyFill="1" applyAlignment="1"/>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3" fillId="7" borderId="1" xfId="0" applyFont="1" applyFill="1" applyBorder="1" applyAlignment="1">
      <alignment horizontal="center" wrapText="1"/>
    </xf>
    <xf numFmtId="0" fontId="2" fillId="10" borderId="14"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3" fillId="0" borderId="0" xfId="0" applyFont="1" applyAlignment="1">
      <alignment wrapText="1"/>
    </xf>
    <xf numFmtId="0" fontId="3" fillId="0" borderId="0" xfId="0" applyFont="1" applyBorder="1" applyAlignment="1">
      <alignment wrapText="1"/>
    </xf>
    <xf numFmtId="0" fontId="3" fillId="0" borderId="2" xfId="0" applyFont="1" applyBorder="1" applyAlignment="1">
      <alignment wrapText="1"/>
    </xf>
    <xf numFmtId="1" fontId="3" fillId="0" borderId="0" xfId="0" applyNumberFormat="1" applyFont="1" applyBorder="1" applyAlignment="1">
      <alignment wrapText="1"/>
    </xf>
    <xf numFmtId="0" fontId="2" fillId="7" borderId="3"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1"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xf numFmtId="0" fontId="2" fillId="0" borderId="0" xfId="0" applyFont="1" applyAlignment="1">
      <alignment horizontal="center" wrapText="1"/>
    </xf>
    <xf numFmtId="0" fontId="2" fillId="0" borderId="1" xfId="0" applyFont="1" applyBorder="1" applyAlignment="1">
      <alignment horizontal="center" wrapText="1"/>
    </xf>
    <xf numFmtId="0" fontId="3" fillId="0" borderId="1" xfId="0" applyFont="1" applyFill="1" applyBorder="1" applyAlignment="1">
      <alignment wrapText="1"/>
    </xf>
    <xf numFmtId="0" fontId="2" fillId="0" borderId="0" xfId="0" applyFont="1" applyBorder="1" applyAlignment="1">
      <alignment horizontal="center" wrapText="1"/>
    </xf>
    <xf numFmtId="0" fontId="2" fillId="18" borderId="14" xfId="0" applyFont="1" applyFill="1" applyBorder="1" applyAlignment="1">
      <alignment horizontal="center" wrapText="1"/>
    </xf>
    <xf numFmtId="0" fontId="2" fillId="18" borderId="1" xfId="0" applyFont="1" applyFill="1" applyBorder="1" applyAlignment="1">
      <alignment horizontal="center" wrapText="1"/>
    </xf>
    <xf numFmtId="0" fontId="3" fillId="16" borderId="1" xfId="0" applyFont="1" applyFill="1" applyBorder="1" applyAlignment="1">
      <alignment wrapText="1"/>
    </xf>
    <xf numFmtId="0" fontId="2" fillId="15" borderId="1" xfId="0" applyFont="1" applyFill="1" applyBorder="1" applyAlignment="1">
      <alignment horizontal="center" wrapText="1"/>
    </xf>
    <xf numFmtId="1" fontId="2" fillId="15" borderId="1" xfId="0" applyNumberFormat="1" applyFont="1" applyFill="1" applyBorder="1" applyAlignment="1">
      <alignment horizontal="center" wrapText="1"/>
    </xf>
    <xf numFmtId="0" fontId="2" fillId="16" borderId="1" xfId="0" applyFont="1" applyFill="1" applyBorder="1" applyAlignment="1">
      <alignment horizontal="center" wrapText="1"/>
    </xf>
    <xf numFmtId="0" fontId="2" fillId="19" borderId="1" xfId="0" applyFont="1" applyFill="1" applyBorder="1" applyAlignment="1">
      <alignment horizontal="center" wrapText="1"/>
    </xf>
    <xf numFmtId="0" fontId="2" fillId="0" borderId="1" xfId="0" applyFont="1" applyFill="1" applyBorder="1" applyAlignment="1">
      <alignment horizontal="center" wrapText="1"/>
    </xf>
    <xf numFmtId="0" fontId="2" fillId="20" borderId="1" xfId="0" applyFont="1" applyFill="1" applyBorder="1" applyAlignment="1">
      <alignment horizontal="center" wrapText="1"/>
    </xf>
    <xf numFmtId="0" fontId="2" fillId="16" borderId="1" xfId="0" applyFont="1" applyFill="1" applyBorder="1" applyAlignment="1">
      <alignment horizontal="center"/>
    </xf>
    <xf numFmtId="0" fontId="2" fillId="17" borderId="1" xfId="0" applyFont="1" applyFill="1" applyBorder="1" applyAlignment="1">
      <alignment horizontal="center" wrapText="1"/>
    </xf>
    <xf numFmtId="0" fontId="2" fillId="0" borderId="1" xfId="0" applyFont="1" applyBorder="1" applyAlignment="1">
      <alignment wrapText="1"/>
    </xf>
    <xf numFmtId="0" fontId="2" fillId="0" borderId="1" xfId="0" applyFont="1" applyBorder="1"/>
    <xf numFmtId="0" fontId="2" fillId="0" borderId="1" xfId="0" applyFont="1" applyFill="1" applyBorder="1" applyAlignment="1">
      <alignment wrapText="1"/>
    </xf>
    <xf numFmtId="0" fontId="2" fillId="21" borderId="1" xfId="0" applyFont="1" applyFill="1" applyBorder="1" applyAlignment="1">
      <alignment horizontal="center" wrapText="1"/>
    </xf>
    <xf numFmtId="0" fontId="2" fillId="21" borderId="1"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wrapText="1"/>
    </xf>
    <xf numFmtId="0" fontId="2" fillId="21" borderId="0" xfId="0" applyFont="1" applyFill="1" applyBorder="1" applyAlignment="1">
      <alignment horizontal="center" wrapText="1"/>
    </xf>
    <xf numFmtId="0" fontId="3" fillId="0" borderId="0" xfId="0" applyFont="1" applyBorder="1"/>
    <xf numFmtId="0" fontId="2" fillId="0" borderId="0" xfId="0" applyFont="1" applyFill="1" applyBorder="1" applyAlignment="1">
      <alignment wrapText="1"/>
    </xf>
    <xf numFmtId="0" fontId="3" fillId="0" borderId="0" xfId="0" applyFont="1" applyFill="1" applyBorder="1" applyAlignment="1">
      <alignment wrapText="1"/>
    </xf>
    <xf numFmtId="0" fontId="4" fillId="0" borderId="0" xfId="0" applyFont="1" applyFill="1" applyBorder="1" applyAlignment="1">
      <alignment vertical="center" wrapText="1"/>
    </xf>
    <xf numFmtId="0" fontId="3" fillId="0" borderId="0" xfId="0" applyFont="1" applyFill="1" applyBorder="1"/>
    <xf numFmtId="0" fontId="5" fillId="19"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1" fontId="3" fillId="0" borderId="0" xfId="0" applyNumberFormat="1" applyFont="1" applyFill="1" applyBorder="1" applyAlignment="1">
      <alignment wrapText="1"/>
    </xf>
    <xf numFmtId="1" fontId="2" fillId="0" borderId="0" xfId="0" applyNumberFormat="1" applyFont="1" applyFill="1" applyBorder="1" applyAlignment="1">
      <alignment horizontal="center" wrapText="1"/>
    </xf>
    <xf numFmtId="1" fontId="2" fillId="10" borderId="8" xfId="0" applyNumberFormat="1" applyFont="1" applyFill="1" applyBorder="1" applyAlignment="1">
      <alignment horizontal="center" vertical="center" wrapText="1"/>
    </xf>
    <xf numFmtId="1" fontId="2" fillId="10" borderId="1" xfId="0" applyNumberFormat="1" applyFont="1" applyFill="1" applyBorder="1" applyAlignment="1">
      <alignment horizontal="center" vertical="center" wrapText="1"/>
    </xf>
    <xf numFmtId="1" fontId="2" fillId="10" borderId="14" xfId="0" applyNumberFormat="1" applyFont="1" applyFill="1" applyBorder="1" applyAlignment="1">
      <alignment horizontal="center" vertical="center" wrapText="1"/>
    </xf>
    <xf numFmtId="0" fontId="2" fillId="0" borderId="0" xfId="0" applyFont="1" applyAlignment="1">
      <alignment horizontal="right" wrapText="1"/>
    </xf>
    <xf numFmtId="0" fontId="2" fillId="22" borderId="1" xfId="0" applyFont="1" applyFill="1" applyBorder="1" applyAlignment="1">
      <alignment horizontal="right" wrapText="1"/>
    </xf>
    <xf numFmtId="0" fontId="2" fillId="22" borderId="5" xfId="0" applyFont="1" applyFill="1" applyBorder="1" applyAlignment="1">
      <alignment horizontal="right" wrapText="1"/>
    </xf>
    <xf numFmtId="0" fontId="4" fillId="24" borderId="3" xfId="0" applyFont="1" applyFill="1" applyBorder="1" applyAlignment="1">
      <alignment horizontal="center" vertical="center" wrapText="1"/>
    </xf>
    <xf numFmtId="1" fontId="2" fillId="3" borderId="1" xfId="0" applyNumberFormat="1" applyFont="1" applyFill="1" applyBorder="1" applyAlignment="1">
      <alignment horizontal="center" wrapText="1"/>
    </xf>
    <xf numFmtId="0" fontId="3" fillId="10" borderId="12" xfId="0" applyFont="1" applyFill="1" applyBorder="1" applyAlignment="1">
      <alignment horizontal="center" wrapText="1"/>
    </xf>
    <xf numFmtId="0" fontId="3" fillId="10" borderId="1" xfId="0" applyFont="1" applyFill="1" applyBorder="1" applyAlignment="1">
      <alignment horizontal="center" wrapText="1"/>
    </xf>
    <xf numFmtId="1" fontId="3" fillId="10" borderId="14" xfId="0" applyNumberFormat="1" applyFont="1" applyFill="1" applyBorder="1" applyAlignment="1">
      <alignment horizontal="center" wrapText="1"/>
    </xf>
    <xf numFmtId="0" fontId="3" fillId="10" borderId="14" xfId="0" applyFont="1" applyFill="1" applyBorder="1" applyAlignment="1">
      <alignment horizontal="center" wrapText="1"/>
    </xf>
    <xf numFmtId="0" fontId="3" fillId="3" borderId="1" xfId="0" applyFont="1" applyFill="1" applyBorder="1" applyAlignment="1">
      <alignment horizontal="center" wrapText="1"/>
    </xf>
    <xf numFmtId="0" fontId="3" fillId="11" borderId="1" xfId="0" applyFont="1" applyFill="1" applyBorder="1" applyAlignment="1">
      <alignment horizontal="center" wrapText="1"/>
    </xf>
    <xf numFmtId="0" fontId="3" fillId="13" borderId="1" xfId="0" applyFont="1" applyFill="1" applyBorder="1" applyAlignment="1">
      <alignment horizontal="center" wrapText="1"/>
    </xf>
    <xf numFmtId="0" fontId="3" fillId="5" borderId="1" xfId="0" applyFont="1" applyFill="1" applyBorder="1" applyAlignment="1">
      <alignment horizontal="center" wrapText="1"/>
    </xf>
    <xf numFmtId="1" fontId="3" fillId="0" borderId="0" xfId="0" applyNumberFormat="1" applyFont="1" applyAlignment="1">
      <alignment horizontal="center" wrapText="1"/>
    </xf>
    <xf numFmtId="0" fontId="3" fillId="0" borderId="0" xfId="0" applyFont="1" applyAlignment="1">
      <alignment horizontal="center" wrapText="1"/>
    </xf>
    <xf numFmtId="0" fontId="3" fillId="0" borderId="0" xfId="0" applyFont="1" applyBorder="1" applyAlignment="1">
      <alignment horizontal="center" wrapText="1"/>
    </xf>
    <xf numFmtId="0" fontId="3" fillId="0" borderId="2" xfId="0" applyFont="1" applyBorder="1" applyAlignment="1">
      <alignment horizontal="center" wrapText="1"/>
    </xf>
    <xf numFmtId="1" fontId="3" fillId="0" borderId="0" xfId="0" applyNumberFormat="1" applyFont="1" applyBorder="1" applyAlignment="1">
      <alignment horizontal="center" wrapText="1"/>
    </xf>
    <xf numFmtId="0" fontId="2" fillId="0" borderId="0" xfId="0" applyFont="1" applyAlignment="1">
      <alignment horizontal="center" vertical="center" wrapText="1"/>
    </xf>
    <xf numFmtId="0" fontId="2" fillId="17" borderId="1" xfId="0" applyFont="1" applyFill="1" applyBorder="1" applyAlignment="1">
      <alignment horizontal="center" vertical="center" wrapText="1"/>
    </xf>
    <xf numFmtId="0" fontId="3" fillId="21" borderId="0" xfId="0" applyFont="1" applyFill="1"/>
    <xf numFmtId="0" fontId="4" fillId="21" borderId="0" xfId="0" applyFont="1" applyFill="1" applyBorder="1" applyAlignment="1">
      <alignment vertical="center" wrapText="1"/>
    </xf>
    <xf numFmtId="0" fontId="4" fillId="21" borderId="0" xfId="0" applyFont="1" applyFill="1" applyBorder="1" applyAlignment="1">
      <alignment horizontal="center" vertical="center" wrapText="1"/>
    </xf>
    <xf numFmtId="0" fontId="3" fillId="21" borderId="0" xfId="0" applyFont="1" applyFill="1" applyBorder="1"/>
    <xf numFmtId="0" fontId="1" fillId="0" borderId="1" xfId="0" applyFont="1" applyFill="1" applyBorder="1" applyAlignment="1">
      <alignment horizontal="center"/>
    </xf>
    <xf numFmtId="0" fontId="2" fillId="0" borderId="14" xfId="0"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center"/>
    </xf>
    <xf numFmtId="0" fontId="2" fillId="0" borderId="0" xfId="0" applyFont="1" applyFill="1" applyBorder="1" applyAlignment="1">
      <alignment horizontal="right" wrapText="1"/>
    </xf>
    <xf numFmtId="0" fontId="5" fillId="19" borderId="1"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16" xfId="0" applyFont="1" applyFill="1" applyBorder="1" applyAlignment="1">
      <alignment horizontal="center" wrapText="1"/>
    </xf>
    <xf numFmtId="0" fontId="2" fillId="0" borderId="3" xfId="0" applyFont="1" applyFill="1" applyBorder="1" applyAlignment="1">
      <alignment horizontal="center" wrapText="1"/>
    </xf>
    <xf numFmtId="0" fontId="2" fillId="0" borderId="12" xfId="0" applyFont="1" applyFill="1" applyBorder="1" applyAlignment="1">
      <alignment horizontal="center" wrapText="1"/>
    </xf>
    <xf numFmtId="0" fontId="2" fillId="11" borderId="17" xfId="0" applyFont="1" applyFill="1" applyBorder="1" applyAlignment="1">
      <alignment horizontal="center" vertic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2" fillId="0" borderId="19" xfId="0" applyFont="1" applyFill="1" applyBorder="1" applyAlignment="1">
      <alignment horizontal="center" wrapText="1"/>
    </xf>
    <xf numFmtId="0" fontId="1" fillId="0" borderId="12" xfId="0" applyFont="1" applyFill="1" applyBorder="1" applyAlignment="1">
      <alignment horizontal="center"/>
    </xf>
    <xf numFmtId="0" fontId="2" fillId="0" borderId="21" xfId="0" applyFont="1" applyFill="1" applyBorder="1" applyAlignment="1">
      <alignment horizontal="center" wrapText="1"/>
    </xf>
    <xf numFmtId="0" fontId="2" fillId="11" borderId="22" xfId="0" applyFont="1" applyFill="1" applyBorder="1" applyAlignment="1">
      <alignment horizontal="center" vertical="center" wrapText="1"/>
    </xf>
    <xf numFmtId="0" fontId="2" fillId="11" borderId="21" xfId="0" applyFont="1" applyFill="1" applyBorder="1" applyAlignment="1">
      <alignment horizontal="center" vertical="center" wrapText="1"/>
    </xf>
    <xf numFmtId="0" fontId="2" fillId="0" borderId="23" xfId="0" applyFont="1" applyFill="1" applyBorder="1" applyAlignment="1">
      <alignment horizontal="center" wrapText="1"/>
    </xf>
    <xf numFmtId="0" fontId="2" fillId="22" borderId="12" xfId="0" applyFont="1" applyFill="1" applyBorder="1" applyAlignment="1">
      <alignment horizontal="right" wrapText="1"/>
    </xf>
    <xf numFmtId="0" fontId="2" fillId="5" borderId="2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22" borderId="16" xfId="0" applyFont="1" applyFill="1" applyBorder="1" applyAlignment="1">
      <alignment horizontal="right" wrapText="1"/>
    </xf>
    <xf numFmtId="0" fontId="2" fillId="22" borderId="3" xfId="0" applyFont="1" applyFill="1" applyBorder="1" applyAlignment="1">
      <alignment horizontal="right" wrapText="1"/>
    </xf>
    <xf numFmtId="0" fontId="2" fillId="0" borderId="8" xfId="0" applyFont="1" applyFill="1" applyBorder="1" applyAlignment="1">
      <alignment horizontal="center" wrapText="1"/>
    </xf>
    <xf numFmtId="0" fontId="2" fillId="7" borderId="21" xfId="0" applyFont="1" applyFill="1" applyBorder="1" applyAlignment="1">
      <alignment horizontal="center" vertical="center" wrapText="1"/>
    </xf>
    <xf numFmtId="0" fontId="2" fillId="0" borderId="22" xfId="0" applyFont="1" applyFill="1" applyBorder="1" applyAlignment="1">
      <alignment horizontal="center" wrapText="1"/>
    </xf>
    <xf numFmtId="0" fontId="2" fillId="0" borderId="6" xfId="0" applyFont="1" applyFill="1" applyBorder="1" applyAlignment="1">
      <alignment horizontal="center" wrapText="1"/>
    </xf>
    <xf numFmtId="0" fontId="2" fillId="7" borderId="17" xfId="0" applyFont="1" applyFill="1" applyBorder="1" applyAlignment="1">
      <alignment horizontal="center" vertical="center" wrapText="1"/>
    </xf>
    <xf numFmtId="0" fontId="2" fillId="0" borderId="24" xfId="0" applyFont="1" applyFill="1" applyBorder="1" applyAlignment="1">
      <alignment horizontal="center" wrapText="1"/>
    </xf>
    <xf numFmtId="0" fontId="2" fillId="7" borderId="22"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1" fillId="0" borderId="14" xfId="0" applyFont="1" applyFill="1" applyBorder="1" applyAlignment="1">
      <alignment horizontal="center"/>
    </xf>
    <xf numFmtId="0" fontId="2" fillId="25" borderId="21" xfId="0" applyFont="1" applyFill="1" applyBorder="1" applyAlignment="1">
      <alignment horizontal="center" vertical="center" wrapText="1"/>
    </xf>
    <xf numFmtId="0" fontId="1" fillId="0" borderId="21" xfId="0" applyFont="1" applyFill="1" applyBorder="1" applyAlignment="1">
      <alignment horizontal="center"/>
    </xf>
    <xf numFmtId="0" fontId="2" fillId="17" borderId="2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2" fillId="32" borderId="1"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2" fillId="34" borderId="1" xfId="0" applyFont="1" applyFill="1" applyBorder="1" applyAlignment="1">
      <alignment horizontal="right" wrapText="1"/>
    </xf>
    <xf numFmtId="0" fontId="2" fillId="35" borderId="14"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28" borderId="1" xfId="0" applyFont="1" applyFill="1" applyBorder="1" applyAlignment="1">
      <alignment horizontal="center" vertical="center" wrapText="1"/>
    </xf>
    <xf numFmtId="0" fontId="2" fillId="37" borderId="1" xfId="0" applyFont="1" applyFill="1" applyBorder="1" applyAlignment="1">
      <alignment horizontal="center" vertical="center" wrapText="1"/>
    </xf>
    <xf numFmtId="0" fontId="2" fillId="28" borderId="3" xfId="0" applyFont="1" applyFill="1" applyBorder="1" applyAlignment="1">
      <alignment horizontal="center" vertical="center" wrapText="1"/>
    </xf>
    <xf numFmtId="0" fontId="6" fillId="37" borderId="1" xfId="0" applyFont="1" applyFill="1" applyBorder="1" applyAlignment="1">
      <alignment horizontal="center" vertical="center"/>
    </xf>
    <xf numFmtId="0" fontId="2" fillId="30" borderId="1" xfId="0" applyFont="1" applyFill="1" applyBorder="1" applyAlignment="1">
      <alignment horizontal="center" vertical="center"/>
    </xf>
    <xf numFmtId="0" fontId="2" fillId="38" borderId="14" xfId="0" applyFont="1" applyFill="1" applyBorder="1" applyAlignment="1">
      <alignment horizontal="center" vertical="center" wrapText="1"/>
    </xf>
    <xf numFmtId="0" fontId="2" fillId="28" borderId="14" xfId="0" applyFont="1" applyFill="1" applyBorder="1" applyAlignment="1">
      <alignment horizontal="center" vertical="center" wrapText="1"/>
    </xf>
    <xf numFmtId="0" fontId="2" fillId="28" borderId="12" xfId="0" applyFont="1" applyFill="1" applyBorder="1" applyAlignment="1">
      <alignment horizontal="center" vertical="center" wrapText="1"/>
    </xf>
    <xf numFmtId="0" fontId="2" fillId="28" borderId="17" xfId="0" applyFont="1" applyFill="1" applyBorder="1" applyAlignment="1">
      <alignment horizontal="center" vertical="center" wrapText="1"/>
    </xf>
    <xf numFmtId="0" fontId="2" fillId="29" borderId="8" xfId="0" applyFont="1" applyFill="1" applyBorder="1" applyAlignment="1">
      <alignment horizontal="center" vertical="center" wrapText="1"/>
    </xf>
    <xf numFmtId="0" fontId="2" fillId="28" borderId="1" xfId="0" applyFont="1" applyFill="1" applyBorder="1" applyAlignment="1">
      <alignment horizontal="center" vertical="center" wrapText="1"/>
    </xf>
    <xf numFmtId="0" fontId="2" fillId="28" borderId="22" xfId="0" applyFont="1" applyFill="1" applyBorder="1" applyAlignment="1">
      <alignment horizontal="center" vertical="center" wrapText="1"/>
    </xf>
    <xf numFmtId="0" fontId="2" fillId="28" borderId="21" xfId="0" applyFont="1" applyFill="1" applyBorder="1" applyAlignment="1">
      <alignment horizontal="center" vertical="center" wrapText="1"/>
    </xf>
    <xf numFmtId="0" fontId="2" fillId="28" borderId="4"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36" borderId="1" xfId="0" applyFont="1" applyFill="1" applyBorder="1" applyAlignment="1">
      <alignment horizontal="center" vertical="center" wrapText="1"/>
    </xf>
    <xf numFmtId="0" fontId="4" fillId="37" borderId="3" xfId="0" applyFont="1" applyFill="1" applyBorder="1" applyAlignment="1">
      <alignment horizontal="center" vertical="center" wrapText="1"/>
    </xf>
    <xf numFmtId="0" fontId="5" fillId="40" borderId="1" xfId="0" applyFont="1" applyFill="1" applyBorder="1" applyAlignment="1">
      <alignment horizontal="center" vertical="center" wrapText="1"/>
    </xf>
    <xf numFmtId="0" fontId="2" fillId="29" borderId="3" xfId="0" applyFont="1" applyFill="1" applyBorder="1" applyAlignment="1">
      <alignment horizontal="center" vertical="center" wrapText="1"/>
    </xf>
    <xf numFmtId="0" fontId="5" fillId="42" borderId="1" xfId="0" applyFont="1" applyFill="1" applyBorder="1" applyAlignment="1">
      <alignment horizontal="center" vertical="center" wrapText="1"/>
    </xf>
    <xf numFmtId="0" fontId="2" fillId="43" borderId="3" xfId="0" applyFont="1" applyFill="1" applyBorder="1" applyAlignment="1">
      <alignment horizontal="center" vertical="center" wrapText="1"/>
    </xf>
    <xf numFmtId="0" fontId="3" fillId="20" borderId="1" xfId="0" applyFont="1" applyFill="1" applyBorder="1" applyAlignment="1">
      <alignment horizontal="center" wrapText="1"/>
    </xf>
    <xf numFmtId="0" fontId="5" fillId="41" borderId="3" xfId="0" applyFont="1" applyFill="1" applyBorder="1" applyAlignment="1">
      <alignment horizontal="center" vertical="center" wrapText="1"/>
    </xf>
    <xf numFmtId="0" fontId="5" fillId="41" borderId="22" xfId="0" applyFont="1" applyFill="1" applyBorder="1" applyAlignment="1">
      <alignment horizontal="center" vertical="center" wrapText="1"/>
    </xf>
    <xf numFmtId="0" fontId="5" fillId="41" borderId="1" xfId="0" applyFont="1" applyFill="1" applyBorder="1" applyAlignment="1">
      <alignment horizontal="center" vertical="center" wrapText="1"/>
    </xf>
    <xf numFmtId="0" fontId="5" fillId="41" borderId="17" xfId="0" applyFont="1" applyFill="1" applyBorder="1" applyAlignment="1">
      <alignment horizontal="center" vertical="center" wrapText="1"/>
    </xf>
    <xf numFmtId="0" fontId="5" fillId="27" borderId="1" xfId="0" applyFont="1" applyFill="1" applyBorder="1" applyAlignment="1">
      <alignment horizontal="center" vertical="center" wrapText="1"/>
    </xf>
    <xf numFmtId="0" fontId="5" fillId="27" borderId="21" xfId="0" applyFont="1" applyFill="1" applyBorder="1" applyAlignment="1">
      <alignment horizontal="center" vertical="center" wrapText="1"/>
    </xf>
    <xf numFmtId="0" fontId="5" fillId="27" borderId="17" xfId="0" applyFont="1" applyFill="1" applyBorder="1" applyAlignment="1">
      <alignment horizontal="center" vertical="center" wrapText="1"/>
    </xf>
    <xf numFmtId="0" fontId="2" fillId="22" borderId="5" xfId="0" applyFont="1" applyFill="1" applyBorder="1" applyAlignment="1">
      <alignment horizontal="right"/>
    </xf>
    <xf numFmtId="15" fontId="2" fillId="22" borderId="1" xfId="0" applyNumberFormat="1" applyFont="1" applyFill="1" applyBorder="1" applyAlignment="1">
      <alignment horizontal="right"/>
    </xf>
    <xf numFmtId="0" fontId="2" fillId="22" borderId="1" xfId="0" applyFont="1" applyFill="1" applyBorder="1" applyAlignment="1">
      <alignment horizontal="center" vertical="center"/>
    </xf>
    <xf numFmtId="15" fontId="2" fillId="22" borderId="1" xfId="0" applyNumberFormat="1" applyFont="1" applyFill="1" applyBorder="1" applyAlignment="1">
      <alignment horizontal="right" wrapText="1"/>
    </xf>
    <xf numFmtId="0" fontId="2" fillId="11" borderId="6" xfId="0" applyFont="1" applyFill="1" applyBorder="1" applyAlignment="1">
      <alignment horizontal="center" vertical="center" wrapText="1"/>
    </xf>
    <xf numFmtId="0" fontId="2" fillId="22" borderId="18" xfId="0" applyFont="1" applyFill="1" applyBorder="1" applyAlignment="1">
      <alignment horizontal="right" wrapText="1"/>
    </xf>
    <xf numFmtId="0" fontId="3" fillId="0" borderId="0" xfId="0" applyFont="1" applyFill="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8" borderId="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2" fillId="41" borderId="1"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37" borderId="0" xfId="0" applyFont="1" applyFill="1" applyBorder="1" applyAlignment="1">
      <alignment horizontal="center" vertical="center" wrapText="1"/>
    </xf>
    <xf numFmtId="0" fontId="4" fillId="23" borderId="0" xfId="0" applyFont="1" applyFill="1" applyBorder="1" applyAlignment="1">
      <alignment horizontal="center" vertical="center" wrapText="1"/>
    </xf>
    <xf numFmtId="0" fontId="4" fillId="31" borderId="0" xfId="0" applyFont="1" applyFill="1" applyBorder="1" applyAlignment="1">
      <alignment horizontal="center" vertical="center" wrapText="1"/>
    </xf>
    <xf numFmtId="0" fontId="4" fillId="41" borderId="0" xfId="0" applyFont="1" applyFill="1" applyBorder="1" applyAlignment="1">
      <alignment horizontal="center" vertical="center" wrapText="1"/>
    </xf>
    <xf numFmtId="0" fontId="4" fillId="27" borderId="0" xfId="0" applyFont="1" applyFill="1" applyBorder="1" applyAlignment="1">
      <alignment horizontal="center" vertical="center" wrapText="1"/>
    </xf>
    <xf numFmtId="0" fontId="0" fillId="0" borderId="0" xfId="0" applyBorder="1"/>
    <xf numFmtId="0" fontId="1" fillId="0" borderId="0" xfId="0" applyFont="1" applyFill="1" applyBorder="1" applyAlignment="1">
      <alignment horizontal="center"/>
    </xf>
    <xf numFmtId="0" fontId="0" fillId="0" borderId="0" xfId="0" applyFill="1" applyBorder="1"/>
    <xf numFmtId="0" fontId="2" fillId="27" borderId="14" xfId="0" applyFont="1" applyFill="1" applyBorder="1" applyAlignment="1">
      <alignment horizontal="center" vertical="center" wrapText="1"/>
    </xf>
    <xf numFmtId="0" fontId="2" fillId="41" borderId="14"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2" fillId="0" borderId="15" xfId="0" applyFont="1" applyFill="1" applyBorder="1" applyAlignment="1">
      <alignment horizontal="center" wrapText="1"/>
    </xf>
    <xf numFmtId="0" fontId="2" fillId="19" borderId="17" xfId="0" applyFont="1" applyFill="1" applyBorder="1" applyAlignment="1">
      <alignment horizontal="center" vertical="center" wrapText="1"/>
    </xf>
    <xf numFmtId="0" fontId="2" fillId="0" borderId="36" xfId="0" applyFont="1" applyFill="1" applyBorder="1" applyAlignment="1">
      <alignment horizontal="center" wrapText="1"/>
    </xf>
    <xf numFmtId="0" fontId="2" fillId="0" borderId="35" xfId="0" applyFont="1" applyFill="1" applyBorder="1" applyAlignment="1">
      <alignment horizontal="center" wrapText="1"/>
    </xf>
    <xf numFmtId="0" fontId="2" fillId="0" borderId="34" xfId="0" applyFont="1" applyFill="1" applyBorder="1" applyAlignment="1">
      <alignment horizontal="center" wrapText="1"/>
    </xf>
    <xf numFmtId="0" fontId="2" fillId="0" borderId="38" xfId="0" applyFont="1" applyFill="1" applyBorder="1" applyAlignment="1">
      <alignment horizontal="center" wrapText="1"/>
    </xf>
    <xf numFmtId="0" fontId="2" fillId="11"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22" borderId="16" xfId="0" applyFont="1" applyFill="1" applyBorder="1" applyAlignment="1">
      <alignment horizontal="right"/>
    </xf>
    <xf numFmtId="0" fontId="2" fillId="0" borderId="5" xfId="0" applyFont="1" applyBorder="1" applyAlignment="1">
      <alignment horizontal="center" wrapText="1"/>
    </xf>
    <xf numFmtId="0" fontId="2" fillId="0" borderId="1" xfId="0" applyFont="1" applyBorder="1" applyAlignment="1">
      <alignment horizontal="center"/>
    </xf>
    <xf numFmtId="0" fontId="2" fillId="0" borderId="16" xfId="0" applyFont="1" applyBorder="1" applyAlignment="1">
      <alignment horizontal="center"/>
    </xf>
    <xf numFmtId="0" fontId="2" fillId="37" borderId="12" xfId="0" applyFont="1" applyFill="1" applyBorder="1" applyAlignment="1">
      <alignment horizontal="center" vertical="center" wrapText="1"/>
    </xf>
    <xf numFmtId="0" fontId="2" fillId="28" borderId="44" xfId="0" applyFont="1" applyFill="1" applyBorder="1" applyAlignment="1">
      <alignment horizontal="center" vertical="center" wrapText="1"/>
    </xf>
    <xf numFmtId="0" fontId="1" fillId="0" borderId="44" xfId="0" applyFont="1" applyFill="1" applyBorder="1" applyAlignment="1">
      <alignment horizontal="center"/>
    </xf>
    <xf numFmtId="0" fontId="2" fillId="0" borderId="46" xfId="0" applyFont="1" applyFill="1" applyBorder="1" applyAlignment="1">
      <alignment horizontal="center" wrapText="1"/>
    </xf>
    <xf numFmtId="0" fontId="2" fillId="0" borderId="47" xfId="0" applyFont="1" applyFill="1" applyBorder="1" applyAlignment="1">
      <alignment horizontal="center" wrapText="1"/>
    </xf>
    <xf numFmtId="0" fontId="2" fillId="0" borderId="48"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xf>
    <xf numFmtId="0" fontId="2" fillId="0" borderId="17" xfId="0" applyFont="1" applyFill="1" applyBorder="1" applyAlignment="1">
      <alignment horizontal="center"/>
    </xf>
    <xf numFmtId="0" fontId="2" fillId="0" borderId="8" xfId="0" applyFont="1" applyFill="1" applyBorder="1" applyAlignment="1">
      <alignment horizontal="center"/>
    </xf>
    <xf numFmtId="0" fontId="2" fillId="0" borderId="3" xfId="0" applyFont="1" applyFill="1" applyBorder="1" applyAlignment="1">
      <alignment horizontal="center"/>
    </xf>
    <xf numFmtId="0" fontId="2" fillId="0" borderId="24" xfId="0" applyFont="1" applyFill="1" applyBorder="1" applyAlignment="1">
      <alignment horizontal="center"/>
    </xf>
    <xf numFmtId="0" fontId="2" fillId="0" borderId="3" xfId="0" applyFont="1" applyBorder="1" applyAlignment="1">
      <alignment horizontal="center" wrapText="1"/>
    </xf>
    <xf numFmtId="0" fontId="2" fillId="0" borderId="50" xfId="0" applyFont="1" applyFill="1" applyBorder="1" applyAlignment="1">
      <alignment horizontal="center" wrapText="1"/>
    </xf>
    <xf numFmtId="0" fontId="2" fillId="0" borderId="49" xfId="0" applyFont="1" applyFill="1" applyBorder="1" applyAlignment="1">
      <alignment horizontal="center" wrapText="1"/>
    </xf>
    <xf numFmtId="0" fontId="2" fillId="0" borderId="51" xfId="0" applyFont="1" applyFill="1" applyBorder="1" applyAlignment="1">
      <alignment horizontal="center" wrapText="1"/>
    </xf>
    <xf numFmtId="0" fontId="2" fillId="0" borderId="52" xfId="0" applyFont="1" applyFill="1" applyBorder="1" applyAlignment="1">
      <alignment horizontal="center" wrapText="1"/>
    </xf>
    <xf numFmtId="0" fontId="2" fillId="0" borderId="19" xfId="0" applyFont="1" applyFill="1" applyBorder="1" applyAlignment="1">
      <alignment horizontal="center"/>
    </xf>
    <xf numFmtId="0" fontId="2" fillId="0" borderId="16" xfId="0" applyFont="1" applyBorder="1" applyAlignment="1">
      <alignment horizontal="center" wrapText="1"/>
    </xf>
    <xf numFmtId="0" fontId="2" fillId="22" borderId="9" xfId="0" applyFont="1" applyFill="1" applyBorder="1" applyAlignment="1">
      <alignment horizontal="right" wrapText="1"/>
    </xf>
    <xf numFmtId="0" fontId="2" fillId="0" borderId="12" xfId="0" applyFont="1" applyBorder="1" applyAlignment="1">
      <alignment horizontal="center"/>
    </xf>
    <xf numFmtId="0" fontId="2" fillId="28" borderId="1" xfId="0" applyFont="1" applyFill="1" applyBorder="1" applyAlignment="1">
      <alignment horizontal="center" vertical="center" wrapText="1"/>
    </xf>
    <xf numFmtId="0" fontId="2" fillId="0" borderId="3" xfId="0" applyFont="1" applyBorder="1" applyAlignment="1">
      <alignment horizontal="center"/>
    </xf>
    <xf numFmtId="0" fontId="2" fillId="0" borderId="12" xfId="0" applyFont="1" applyFill="1" applyBorder="1" applyAlignment="1">
      <alignment horizontal="center"/>
    </xf>
    <xf numFmtId="0" fontId="2" fillId="0" borderId="6" xfId="0" applyFont="1" applyFill="1" applyBorder="1" applyAlignment="1">
      <alignment horizontal="center"/>
    </xf>
    <xf numFmtId="1" fontId="2" fillId="0" borderId="1" xfId="0" applyNumberFormat="1" applyFont="1" applyFill="1" applyBorder="1" applyAlignment="1">
      <alignment horizontal="center"/>
    </xf>
    <xf numFmtId="1" fontId="2" fillId="0" borderId="16" xfId="0" applyNumberFormat="1" applyFont="1" applyFill="1" applyBorder="1" applyAlignment="1">
      <alignment horizontal="center"/>
    </xf>
    <xf numFmtId="0" fontId="1" fillId="21" borderId="1"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22" borderId="9" xfId="0" applyFont="1" applyFill="1" applyBorder="1" applyAlignment="1">
      <alignment horizontal="right"/>
    </xf>
    <xf numFmtId="0" fontId="1" fillId="0" borderId="3" xfId="0" applyFont="1" applyFill="1" applyBorder="1" applyAlignment="1">
      <alignment horizontal="center"/>
    </xf>
    <xf numFmtId="0" fontId="1" fillId="0" borderId="6" xfId="0" applyFont="1" applyFill="1" applyBorder="1" applyAlignment="1">
      <alignment horizontal="center"/>
    </xf>
    <xf numFmtId="0" fontId="1" fillId="0" borderId="50" xfId="0" applyFont="1" applyBorder="1" applyAlignment="1">
      <alignment horizontal="center"/>
    </xf>
    <xf numFmtId="0" fontId="1" fillId="0" borderId="14" xfId="0" applyFont="1" applyBorder="1" applyAlignment="1">
      <alignment horizontal="center"/>
    </xf>
    <xf numFmtId="164" fontId="2" fillId="10" borderId="14" xfId="0" applyNumberFormat="1" applyFont="1" applyFill="1" applyBorder="1" applyAlignment="1">
      <alignment horizontal="center" vertical="center" wrapText="1"/>
    </xf>
    <xf numFmtId="164" fontId="3" fillId="10" borderId="14" xfId="0" applyNumberFormat="1" applyFont="1" applyFill="1" applyBorder="1" applyAlignment="1">
      <alignment horizontal="center" wrapText="1"/>
    </xf>
    <xf numFmtId="164" fontId="3" fillId="0" borderId="0" xfId="0" applyNumberFormat="1" applyFont="1" applyAlignment="1">
      <alignment horizontal="center" wrapText="1"/>
    </xf>
    <xf numFmtId="0" fontId="2" fillId="21" borderId="21" xfId="0" applyFont="1" applyFill="1" applyBorder="1" applyAlignment="1">
      <alignment horizontal="center" wrapText="1"/>
    </xf>
    <xf numFmtId="0" fontId="2" fillId="21" borderId="1" xfId="0" applyFont="1" applyFill="1" applyBorder="1" applyAlignment="1">
      <alignment horizontal="center"/>
    </xf>
    <xf numFmtId="1" fontId="2" fillId="0" borderId="5" xfId="0" applyNumberFormat="1" applyFont="1" applyFill="1" applyBorder="1" applyAlignment="1">
      <alignment horizontal="center" wrapText="1"/>
    </xf>
    <xf numFmtId="1" fontId="2" fillId="0" borderId="16" xfId="0" applyNumberFormat="1" applyFont="1" applyFill="1" applyBorder="1" applyAlignment="1">
      <alignment horizont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top" wrapText="1"/>
    </xf>
    <xf numFmtId="0" fontId="1" fillId="3" borderId="0" xfId="0" applyFont="1" applyFill="1"/>
    <xf numFmtId="0" fontId="0" fillId="0" borderId="0" xfId="0" applyFill="1"/>
    <xf numFmtId="0" fontId="10" fillId="0" borderId="0" xfId="0" applyFont="1" applyFill="1" applyAlignment="1"/>
    <xf numFmtId="0" fontId="12" fillId="0" borderId="0" xfId="1"/>
    <xf numFmtId="1" fontId="2" fillId="3" borderId="1" xfId="0" applyNumberFormat="1" applyFont="1" applyFill="1" applyBorder="1" applyAlignment="1">
      <alignment horizontal="center" vertical="center" wrapText="1"/>
    </xf>
    <xf numFmtId="0" fontId="6" fillId="2" borderId="0" xfId="0" applyFont="1" applyFill="1" applyAlignment="1">
      <alignment horizontal="center" vertical="center"/>
    </xf>
    <xf numFmtId="0" fontId="2" fillId="23" borderId="1" xfId="0" applyFont="1" applyFill="1" applyBorder="1" applyAlignment="1">
      <alignment horizontal="right" wrapText="1"/>
    </xf>
    <xf numFmtId="0" fontId="2" fillId="23" borderId="21" xfId="0" applyFont="1" applyFill="1" applyBorder="1" applyAlignment="1">
      <alignment horizontal="center" wrapText="1"/>
    </xf>
    <xf numFmtId="0" fontId="2" fillId="23" borderId="14" xfId="0" applyFont="1" applyFill="1" applyBorder="1" applyAlignment="1">
      <alignment horizontal="center" wrapText="1"/>
    </xf>
    <xf numFmtId="0" fontId="2" fillId="23" borderId="1" xfId="0" applyFont="1" applyFill="1" applyBorder="1" applyAlignment="1">
      <alignment horizontal="center" wrapText="1"/>
    </xf>
    <xf numFmtId="0" fontId="2" fillId="23" borderId="17" xfId="0" applyFont="1" applyFill="1" applyBorder="1" applyAlignment="1">
      <alignment horizontal="center"/>
    </xf>
    <xf numFmtId="0" fontId="2" fillId="23" borderId="1" xfId="0" applyFont="1" applyFill="1" applyBorder="1" applyAlignment="1">
      <alignment horizontal="center"/>
    </xf>
    <xf numFmtId="0" fontId="2" fillId="23" borderId="12" xfId="0" applyFont="1" applyFill="1" applyBorder="1" applyAlignment="1">
      <alignment horizontal="center"/>
    </xf>
    <xf numFmtId="0" fontId="2" fillId="23" borderId="12" xfId="0" applyFont="1" applyFill="1" applyBorder="1" applyAlignment="1">
      <alignment horizontal="center" wrapText="1"/>
    </xf>
    <xf numFmtId="0" fontId="2" fillId="23" borderId="17" xfId="0" applyFont="1" applyFill="1" applyBorder="1" applyAlignment="1">
      <alignment horizontal="center" wrapText="1"/>
    </xf>
    <xf numFmtId="0" fontId="2" fillId="0" borderId="37" xfId="0" applyFont="1" applyFill="1" applyBorder="1" applyAlignment="1">
      <alignment horizontal="center" wrapText="1"/>
    </xf>
    <xf numFmtId="0" fontId="2" fillId="0" borderId="25" xfId="0" applyFont="1" applyFill="1" applyBorder="1" applyAlignment="1">
      <alignment horizontal="center" wrapText="1"/>
    </xf>
    <xf numFmtId="0" fontId="1" fillId="0" borderId="8" xfId="0" applyFont="1" applyFill="1" applyBorder="1" applyAlignment="1">
      <alignment horizontal="center"/>
    </xf>
    <xf numFmtId="0" fontId="1" fillId="0" borderId="55" xfId="0" applyFont="1" applyFill="1" applyBorder="1" applyAlignment="1">
      <alignment horizontal="center"/>
    </xf>
    <xf numFmtId="0" fontId="1" fillId="0" borderId="8" xfId="0" applyFont="1" applyBorder="1" applyAlignment="1">
      <alignment horizontal="center"/>
    </xf>
    <xf numFmtId="0" fontId="1" fillId="0" borderId="36" xfId="0" applyFont="1" applyBorder="1" applyAlignment="1">
      <alignment horizontal="center"/>
    </xf>
    <xf numFmtId="0" fontId="1" fillId="0" borderId="35" xfId="0" applyFont="1" applyBorder="1" applyAlignment="1">
      <alignment horizontal="center"/>
    </xf>
    <xf numFmtId="0" fontId="4" fillId="8" borderId="1"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0" fontId="4" fillId="27" borderId="6" xfId="0" applyFont="1" applyFill="1" applyBorder="1" applyAlignment="1">
      <alignment horizontal="center" vertical="center" wrapText="1"/>
    </xf>
    <xf numFmtId="0" fontId="4" fillId="27" borderId="7" xfId="0" applyFont="1" applyFill="1" applyBorder="1" applyAlignment="1">
      <alignment horizontal="center" vertical="center" wrapText="1"/>
    </xf>
    <xf numFmtId="0" fontId="4" fillId="27" borderId="8" xfId="0" applyFont="1" applyFill="1" applyBorder="1" applyAlignment="1">
      <alignment horizontal="center" vertical="center" wrapText="1"/>
    </xf>
    <xf numFmtId="0" fontId="4" fillId="27" borderId="9"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7" borderId="11"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31" borderId="12" xfId="0" applyFont="1" applyFill="1" applyBorder="1" applyAlignment="1">
      <alignment horizontal="center" vertical="center" wrapText="1"/>
    </xf>
    <xf numFmtId="0" fontId="4" fillId="31" borderId="13" xfId="0" applyFont="1" applyFill="1" applyBorder="1" applyAlignment="1">
      <alignment horizontal="center" vertical="center" wrapText="1"/>
    </xf>
    <xf numFmtId="0" fontId="4" fillId="30" borderId="12" xfId="0" applyFont="1" applyFill="1" applyBorder="1" applyAlignment="1">
      <alignment horizontal="center" vertical="center" wrapText="1"/>
    </xf>
    <xf numFmtId="0" fontId="4" fillId="30" borderId="13" xfId="0" applyFont="1" applyFill="1" applyBorder="1" applyAlignment="1">
      <alignment horizontal="center" vertical="center" wrapText="1"/>
    </xf>
    <xf numFmtId="0" fontId="4" fillId="30" borderId="14"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2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4" fillId="14" borderId="13" xfId="0" applyFont="1" applyFill="1" applyBorder="1" applyAlignment="1">
      <alignment horizontal="center" vertical="center" wrapText="1"/>
    </xf>
    <xf numFmtId="0" fontId="4" fillId="14" borderId="14" xfId="0" applyFont="1" applyFill="1" applyBorder="1" applyAlignment="1">
      <alignment horizontal="center" vertical="center" wrapText="1"/>
    </xf>
    <xf numFmtId="0" fontId="4" fillId="2" borderId="1" xfId="0" applyFont="1" applyFill="1" applyBorder="1" applyAlignment="1">
      <alignment horizontal="center" wrapText="1"/>
    </xf>
    <xf numFmtId="0" fontId="4" fillId="4"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1" fontId="2" fillId="10" borderId="12" xfId="0" applyNumberFormat="1" applyFont="1" applyFill="1" applyBorder="1" applyAlignment="1">
      <alignment horizontal="center" vertical="center" wrapText="1"/>
    </xf>
    <xf numFmtId="1" fontId="2" fillId="10" borderId="13" xfId="0" applyNumberFormat="1" applyFont="1" applyFill="1" applyBorder="1" applyAlignment="1">
      <alignment horizontal="center" vertical="center" wrapText="1"/>
    </xf>
    <xf numFmtId="1" fontId="2" fillId="10" borderId="14" xfId="0" applyNumberFormat="1" applyFont="1" applyFill="1" applyBorder="1" applyAlignment="1">
      <alignment horizontal="center" vertical="center" wrapText="1"/>
    </xf>
    <xf numFmtId="0" fontId="4" fillId="8" borderId="12" xfId="0" applyFont="1" applyFill="1" applyBorder="1" applyAlignment="1">
      <alignment horizontal="center" wrapText="1"/>
    </xf>
    <xf numFmtId="0" fontId="4" fillId="8" borderId="13" xfId="0" applyFont="1" applyFill="1" applyBorder="1" applyAlignment="1">
      <alignment horizontal="center" wrapText="1"/>
    </xf>
    <xf numFmtId="0" fontId="4" fillId="8" borderId="14" xfId="0" applyFont="1" applyFill="1" applyBorder="1" applyAlignment="1">
      <alignment horizontal="center" wrapText="1"/>
    </xf>
    <xf numFmtId="0" fontId="4" fillId="2" borderId="1" xfId="0" applyFont="1" applyFill="1" applyBorder="1" applyAlignment="1">
      <alignment horizontal="center" vertical="center" wrapText="1"/>
    </xf>
    <xf numFmtId="0" fontId="4" fillId="9" borderId="12" xfId="0" applyFont="1" applyFill="1" applyBorder="1" applyAlignment="1">
      <alignment horizontal="center" wrapText="1"/>
    </xf>
    <xf numFmtId="0" fontId="4" fillId="9" borderId="13" xfId="0" applyFont="1" applyFill="1" applyBorder="1" applyAlignment="1">
      <alignment horizontal="center" wrapText="1"/>
    </xf>
    <xf numFmtId="0" fontId="4" fillId="9" borderId="14" xfId="0" applyFont="1" applyFill="1" applyBorder="1" applyAlignment="1">
      <alignment horizontal="center" wrapText="1"/>
    </xf>
    <xf numFmtId="0" fontId="2" fillId="12" borderId="1" xfId="0" applyFont="1" applyFill="1" applyBorder="1" applyAlignment="1">
      <alignment horizontal="center" vertical="center"/>
    </xf>
    <xf numFmtId="0" fontId="1" fillId="22" borderId="42" xfId="0" applyFont="1" applyFill="1" applyBorder="1" applyAlignment="1">
      <alignment horizontal="right"/>
    </xf>
    <xf numFmtId="0" fontId="1" fillId="22" borderId="43" xfId="0" applyFont="1" applyFill="1" applyBorder="1" applyAlignment="1">
      <alignment horizontal="right"/>
    </xf>
    <xf numFmtId="0" fontId="1" fillId="22" borderId="27" xfId="0" applyFont="1" applyFill="1" applyBorder="1" applyAlignment="1">
      <alignment horizontal="center"/>
    </xf>
    <xf numFmtId="0" fontId="1" fillId="22" borderId="30" xfId="0" applyFont="1" applyFill="1" applyBorder="1" applyAlignment="1">
      <alignment horizontal="center"/>
    </xf>
    <xf numFmtId="0" fontId="1" fillId="22" borderId="33" xfId="0" applyFont="1" applyFill="1" applyBorder="1" applyAlignment="1">
      <alignment horizontal="center"/>
    </xf>
    <xf numFmtId="0" fontId="1" fillId="22" borderId="34" xfId="0" applyFont="1" applyFill="1" applyBorder="1" applyAlignment="1">
      <alignment horizontal="center"/>
    </xf>
    <xf numFmtId="0" fontId="1" fillId="22" borderId="35" xfId="0" applyFont="1" applyFill="1" applyBorder="1" applyAlignment="1">
      <alignment horizontal="center"/>
    </xf>
    <xf numFmtId="0" fontId="1" fillId="22" borderId="31" xfId="0" applyFont="1" applyFill="1" applyBorder="1" applyAlignment="1">
      <alignment horizontal="right"/>
    </xf>
    <xf numFmtId="0" fontId="1" fillId="22" borderId="32" xfId="0" applyFont="1" applyFill="1" applyBorder="1" applyAlignment="1">
      <alignment horizontal="right"/>
    </xf>
    <xf numFmtId="0" fontId="1" fillId="22" borderId="26" xfId="0" applyFont="1" applyFill="1" applyBorder="1" applyAlignment="1">
      <alignment horizontal="center"/>
    </xf>
    <xf numFmtId="0" fontId="1" fillId="22" borderId="40" xfId="0" applyFont="1" applyFill="1" applyBorder="1" applyAlignment="1">
      <alignment horizontal="center"/>
    </xf>
    <xf numFmtId="0" fontId="1" fillId="21" borderId="0" xfId="0" applyFont="1" applyFill="1" applyBorder="1" applyAlignment="1">
      <alignment horizontal="center"/>
    </xf>
    <xf numFmtId="0" fontId="6" fillId="37" borderId="9" xfId="0" applyFont="1" applyFill="1" applyBorder="1" applyAlignment="1">
      <alignment horizontal="center" vertical="center"/>
    </xf>
    <xf numFmtId="0" fontId="6" fillId="37" borderId="10" xfId="0" applyFont="1" applyFill="1" applyBorder="1" applyAlignment="1">
      <alignment horizontal="center" vertical="center"/>
    </xf>
    <xf numFmtId="0" fontId="6" fillId="37" borderId="11" xfId="0" applyFont="1" applyFill="1" applyBorder="1" applyAlignment="1">
      <alignment horizontal="center" vertical="center"/>
    </xf>
    <xf numFmtId="0" fontId="6" fillId="37" borderId="15" xfId="0" applyFont="1" applyFill="1" applyBorder="1" applyAlignment="1">
      <alignment horizontal="center" vertical="center"/>
    </xf>
    <xf numFmtId="0" fontId="6" fillId="37" borderId="0" xfId="0" applyFont="1" applyFill="1" applyBorder="1" applyAlignment="1">
      <alignment horizontal="center" vertical="center"/>
    </xf>
    <xf numFmtId="0" fontId="1" fillId="22" borderId="29" xfId="0" applyFont="1" applyFill="1" applyBorder="1" applyAlignment="1">
      <alignment horizontal="center"/>
    </xf>
    <xf numFmtId="0" fontId="1" fillId="22" borderId="28" xfId="0" applyFont="1" applyFill="1" applyBorder="1" applyAlignment="1">
      <alignment horizontal="center"/>
    </xf>
    <xf numFmtId="0" fontId="2" fillId="22" borderId="31" xfId="0" applyFont="1" applyFill="1" applyBorder="1" applyAlignment="1">
      <alignment horizontal="right" wrapText="1"/>
    </xf>
    <xf numFmtId="0" fontId="2" fillId="22" borderId="32" xfId="0" applyFont="1" applyFill="1" applyBorder="1" applyAlignment="1">
      <alignment horizontal="right" wrapText="1"/>
    </xf>
    <xf numFmtId="0" fontId="2" fillId="22" borderId="26" xfId="0" applyFont="1" applyFill="1" applyBorder="1" applyAlignment="1">
      <alignment horizontal="center" wrapText="1"/>
    </xf>
    <xf numFmtId="0" fontId="2" fillId="22" borderId="28" xfId="0" applyFont="1" applyFill="1" applyBorder="1" applyAlignment="1">
      <alignment horizontal="center" wrapText="1"/>
    </xf>
    <xf numFmtId="0" fontId="2" fillId="22" borderId="41" xfId="0" applyFont="1" applyFill="1" applyBorder="1" applyAlignment="1">
      <alignment horizontal="center" wrapText="1"/>
    </xf>
    <xf numFmtId="0" fontId="2" fillId="22" borderId="34" xfId="0" applyFont="1" applyFill="1" applyBorder="1" applyAlignment="1">
      <alignment horizontal="center" wrapText="1"/>
    </xf>
    <xf numFmtId="0" fontId="2" fillId="22" borderId="35" xfId="0" applyFont="1" applyFill="1" applyBorder="1" applyAlignment="1">
      <alignment horizontal="center" wrapText="1"/>
    </xf>
    <xf numFmtId="0" fontId="2" fillId="22" borderId="45" xfId="0" applyFont="1" applyFill="1" applyBorder="1" applyAlignment="1">
      <alignment horizontal="center" wrapText="1"/>
    </xf>
    <xf numFmtId="0" fontId="2" fillId="22" borderId="29" xfId="0" applyFont="1" applyFill="1" applyBorder="1" applyAlignment="1">
      <alignment horizontal="center" wrapText="1"/>
    </xf>
    <xf numFmtId="0" fontId="2" fillId="22" borderId="30" xfId="0" applyFont="1" applyFill="1" applyBorder="1" applyAlignment="1">
      <alignment horizontal="center" wrapText="1"/>
    </xf>
    <xf numFmtId="0" fontId="4" fillId="12" borderId="15"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37" borderId="15" xfId="0" applyFont="1" applyFill="1" applyBorder="1" applyAlignment="1">
      <alignment horizontal="center" vertical="center" wrapText="1"/>
    </xf>
    <xf numFmtId="0" fontId="4" fillId="37" borderId="0" xfId="0" applyFont="1" applyFill="1" applyBorder="1" applyAlignment="1">
      <alignment horizontal="center" vertical="center" wrapText="1"/>
    </xf>
    <xf numFmtId="0" fontId="2" fillId="28" borderId="6" xfId="0" applyFont="1" applyFill="1" applyBorder="1" applyAlignment="1">
      <alignment horizontal="center" vertical="center" wrapText="1"/>
    </xf>
    <xf numFmtId="0" fontId="2" fillId="28" borderId="7" xfId="0" applyFont="1" applyFill="1" applyBorder="1" applyAlignment="1">
      <alignment horizontal="center" vertical="center" wrapText="1"/>
    </xf>
    <xf numFmtId="0" fontId="2" fillId="28" borderId="8" xfId="0" applyFont="1" applyFill="1" applyBorder="1" applyAlignment="1">
      <alignment horizontal="center" vertical="center" wrapText="1"/>
    </xf>
    <xf numFmtId="0" fontId="2" fillId="28" borderId="9"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2" fillId="28" borderId="11" xfId="0" applyFont="1" applyFill="1" applyBorder="1" applyAlignment="1">
      <alignment horizontal="center" vertical="center" wrapText="1"/>
    </xf>
    <xf numFmtId="0" fontId="2" fillId="28" borderId="1" xfId="0" applyFont="1" applyFill="1" applyBorder="1" applyAlignment="1">
      <alignment horizontal="center" vertical="center" wrapText="1"/>
    </xf>
    <xf numFmtId="0" fontId="2" fillId="22" borderId="39" xfId="0" applyFont="1" applyFill="1" applyBorder="1" applyAlignment="1">
      <alignment horizontal="center" wrapText="1"/>
    </xf>
    <xf numFmtId="0" fontId="2" fillId="22" borderId="33" xfId="0" applyFont="1" applyFill="1" applyBorder="1" applyAlignment="1">
      <alignment horizontal="center" wrapText="1"/>
    </xf>
    <xf numFmtId="0" fontId="3" fillId="28" borderId="1" xfId="0" applyFont="1" applyFill="1" applyBorder="1" applyAlignment="1">
      <alignment horizontal="center" vertical="center" wrapText="1"/>
    </xf>
    <xf numFmtId="0" fontId="4" fillId="41" borderId="6" xfId="0" applyFont="1" applyFill="1" applyBorder="1" applyAlignment="1">
      <alignment horizontal="center" vertical="center" wrapText="1"/>
    </xf>
    <xf numFmtId="0" fontId="4" fillId="41" borderId="7" xfId="0" applyFont="1" applyFill="1" applyBorder="1" applyAlignment="1">
      <alignment horizontal="center" vertical="center" wrapText="1"/>
    </xf>
    <xf numFmtId="0" fontId="4" fillId="41" borderId="9" xfId="0" applyFont="1" applyFill="1" applyBorder="1" applyAlignment="1">
      <alignment horizontal="center" vertical="center" wrapText="1"/>
    </xf>
    <xf numFmtId="0" fontId="4" fillId="41"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1" borderId="15" xfId="0" applyFont="1" applyFill="1" applyBorder="1" applyAlignment="1">
      <alignment horizontal="center"/>
    </xf>
    <xf numFmtId="0" fontId="3" fillId="21" borderId="0" xfId="0" applyFont="1" applyFill="1" applyAlignment="1">
      <alignment horizontal="center"/>
    </xf>
    <xf numFmtId="0" fontId="4" fillId="9" borderId="15"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23" borderId="0"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19" borderId="12" xfId="0" applyFont="1" applyFill="1" applyBorder="1" applyAlignment="1">
      <alignment horizontal="center" vertical="center" wrapText="1"/>
    </xf>
    <xf numFmtId="0" fontId="5" fillId="19" borderId="13" xfId="0" applyFont="1" applyFill="1" applyBorder="1" applyAlignment="1">
      <alignment horizontal="center" vertical="center" wrapText="1"/>
    </xf>
    <xf numFmtId="0" fontId="5" fillId="19" borderId="14" xfId="0" applyFont="1" applyFill="1" applyBorder="1" applyAlignment="1">
      <alignment horizontal="center" vertical="center" wrapText="1"/>
    </xf>
    <xf numFmtId="0" fontId="3" fillId="22" borderId="41" xfId="0" applyFont="1" applyFill="1" applyBorder="1" applyAlignment="1">
      <alignment horizontal="center" wrapText="1"/>
    </xf>
    <xf numFmtId="0" fontId="3" fillId="22" borderId="34" xfId="0" applyFont="1" applyFill="1" applyBorder="1" applyAlignment="1">
      <alignment horizontal="center" wrapText="1"/>
    </xf>
    <xf numFmtId="0" fontId="3" fillId="22" borderId="35" xfId="0" applyFont="1" applyFill="1" applyBorder="1" applyAlignment="1">
      <alignment horizontal="center" wrapText="1"/>
    </xf>
    <xf numFmtId="0" fontId="5" fillId="16" borderId="15" xfId="0" applyFont="1" applyFill="1" applyBorder="1" applyAlignment="1">
      <alignment horizontal="center" vertical="center" wrapText="1"/>
    </xf>
    <xf numFmtId="0" fontId="5" fillId="16" borderId="0"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5" fillId="16" borderId="14" xfId="0" applyFont="1" applyFill="1" applyBorder="1" applyAlignment="1">
      <alignment horizontal="center" vertical="center" wrapText="1"/>
    </xf>
    <xf numFmtId="0" fontId="14" fillId="0" borderId="26" xfId="0" applyFont="1" applyBorder="1" applyAlignment="1">
      <alignment horizontal="center" wrapText="1"/>
    </xf>
    <xf numFmtId="0" fontId="14" fillId="0" borderId="27" xfId="0" applyFont="1" applyBorder="1" applyAlignment="1">
      <alignment horizontal="center" wrapText="1"/>
    </xf>
    <xf numFmtId="0" fontId="14" fillId="0" borderId="53" xfId="0" applyFont="1" applyBorder="1" applyAlignment="1">
      <alignment horizontal="center" wrapText="1"/>
    </xf>
    <xf numFmtId="0" fontId="14" fillId="0" borderId="54" xfId="0" applyFont="1" applyBorder="1" applyAlignment="1">
      <alignment horizontal="center" wrapText="1"/>
    </xf>
    <xf numFmtId="0" fontId="14" fillId="0" borderId="28" xfId="0" applyFont="1" applyBorder="1" applyAlignment="1">
      <alignment horizontal="center" wrapText="1"/>
    </xf>
    <xf numFmtId="0" fontId="14" fillId="0" borderId="30" xfId="0" applyFont="1" applyBorder="1" applyAlignment="1">
      <alignment horizontal="center" wrapText="1"/>
    </xf>
    <xf numFmtId="0" fontId="4" fillId="24" borderId="15" xfId="0" applyFont="1" applyFill="1" applyBorder="1" applyAlignment="1">
      <alignment horizontal="center" vertical="center" wrapText="1"/>
    </xf>
    <xf numFmtId="0" fontId="4" fillId="24" borderId="0" xfId="0" applyFont="1" applyFill="1" applyBorder="1" applyAlignment="1">
      <alignment horizontal="center" vertical="center" wrapText="1"/>
    </xf>
    <xf numFmtId="0" fontId="4" fillId="37" borderId="12" xfId="0" applyFont="1" applyFill="1" applyBorder="1" applyAlignment="1">
      <alignment horizontal="center" vertical="center" wrapText="1"/>
    </xf>
    <xf numFmtId="0" fontId="4" fillId="37" borderId="13" xfId="0" applyFont="1" applyFill="1" applyBorder="1" applyAlignment="1">
      <alignment horizontal="center" vertical="center" wrapText="1"/>
    </xf>
    <xf numFmtId="0" fontId="4" fillId="37" borderId="1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9" borderId="15" xfId="0" applyFont="1" applyFill="1" applyBorder="1" applyAlignment="1">
      <alignment horizontal="center" vertical="center" wrapText="1"/>
    </xf>
    <xf numFmtId="0" fontId="4" fillId="39" borderId="0" xfId="0" applyFont="1" applyFill="1" applyBorder="1" applyAlignment="1">
      <alignment horizontal="center" vertical="center" wrapText="1"/>
    </xf>
    <xf numFmtId="0" fontId="5" fillId="17" borderId="12"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5" fillId="38" borderId="12" xfId="0" applyFont="1" applyFill="1" applyBorder="1" applyAlignment="1">
      <alignment horizontal="center" vertical="center" wrapText="1"/>
    </xf>
    <xf numFmtId="0" fontId="5" fillId="38" borderId="13" xfId="0" applyFont="1" applyFill="1" applyBorder="1" applyAlignment="1">
      <alignment horizontal="center" vertical="center" wrapText="1"/>
    </xf>
    <xf numFmtId="0" fontId="5" fillId="38" borderId="14" xfId="0" applyFont="1" applyFill="1" applyBorder="1" applyAlignment="1">
      <alignment horizontal="center" vertical="center" wrapText="1"/>
    </xf>
    <xf numFmtId="0" fontId="4" fillId="31" borderId="15" xfId="0" applyFont="1" applyFill="1" applyBorder="1" applyAlignment="1">
      <alignment horizontal="center" vertical="center" wrapText="1"/>
    </xf>
    <xf numFmtId="0" fontId="4" fillId="31" borderId="0" xfId="0" applyFont="1" applyFill="1" applyBorder="1" applyAlignment="1">
      <alignment horizontal="center" vertical="center" wrapText="1"/>
    </xf>
    <xf numFmtId="0" fontId="4" fillId="41" borderId="15" xfId="0" applyFont="1" applyFill="1" applyBorder="1" applyAlignment="1">
      <alignment horizontal="center" vertical="center" wrapText="1"/>
    </xf>
    <xf numFmtId="0" fontId="4" fillId="41" borderId="0" xfId="0" applyFont="1" applyFill="1" applyBorder="1" applyAlignment="1">
      <alignment horizontal="center" vertical="center" wrapText="1"/>
    </xf>
    <xf numFmtId="0" fontId="4" fillId="27" borderId="15" xfId="0" applyFont="1" applyFill="1" applyBorder="1" applyAlignment="1">
      <alignment horizontal="center" vertical="center" wrapText="1"/>
    </xf>
    <xf numFmtId="0" fontId="4" fillId="27" borderId="0"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5" fillId="18" borderId="14"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15" fillId="0" borderId="27" xfId="0" applyFont="1" applyBorder="1" applyAlignment="1">
      <alignment horizontal="center" wrapText="1"/>
    </xf>
    <xf numFmtId="0" fontId="15" fillId="0" borderId="53" xfId="0" applyFont="1" applyBorder="1" applyAlignment="1">
      <alignment horizontal="center" wrapText="1"/>
    </xf>
    <xf numFmtId="0" fontId="15" fillId="0" borderId="54" xfId="0" applyFont="1" applyBorder="1" applyAlignment="1">
      <alignment horizontal="center" wrapText="1"/>
    </xf>
    <xf numFmtId="0" fontId="15" fillId="0" borderId="28" xfId="0" applyFont="1" applyBorder="1" applyAlignment="1">
      <alignment horizontal="center" wrapText="1"/>
    </xf>
    <xf numFmtId="0" fontId="15" fillId="0" borderId="30"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BFE2"/>
      <color rgb="FF1E988A"/>
      <color rgb="FF0071CE"/>
      <color rgb="FFC1E3FF"/>
      <color rgb="FF91EADF"/>
      <color rgb="FF84C8FF"/>
      <color rgb="FFC9AEE6"/>
      <color rgb="FF783CBD"/>
      <color rgb="FFFFD193"/>
      <color rgb="FFF38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Komen">
      <a:dk1>
        <a:sysClr val="windowText" lastClr="000000"/>
      </a:dk1>
      <a:lt1>
        <a:sysClr val="window" lastClr="FFFFFF"/>
      </a:lt1>
      <a:dk2>
        <a:srgbClr val="44546A"/>
      </a:dk2>
      <a:lt2>
        <a:srgbClr val="C6006F"/>
      </a:lt2>
      <a:accent1>
        <a:srgbClr val="783CBD"/>
      </a:accent1>
      <a:accent2>
        <a:srgbClr val="0071CE"/>
      </a:accent2>
      <a:accent3>
        <a:srgbClr val="1E988A"/>
      </a:accent3>
      <a:accent4>
        <a:srgbClr val="F38B00"/>
      </a:accent4>
      <a:accent5>
        <a:srgbClr val="77777A"/>
      </a:accent5>
      <a:accent6>
        <a:srgbClr val="E977AF"/>
      </a:accent6>
      <a:hlink>
        <a:srgbClr val="0563C1"/>
      </a:hlink>
      <a:folHlink>
        <a:srgbClr val="E977A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s.org/search/accredited-breast-centers" TargetMode="External"/><Relationship Id="rId7" Type="http://schemas.openxmlformats.org/officeDocument/2006/relationships/printerSettings" Target="../printerSettings/printerSettings1.bin"/><Relationship Id="rId2" Type="http://schemas.openxmlformats.org/officeDocument/2006/relationships/hyperlink" Target="https://www.acraccreditation.org/accredited-facility-search" TargetMode="External"/><Relationship Id="rId1" Type="http://schemas.openxmlformats.org/officeDocument/2006/relationships/hyperlink" Target="https://www.acraccreditation.org/accredited-facility-search" TargetMode="External"/><Relationship Id="rId6" Type="http://schemas.openxmlformats.org/officeDocument/2006/relationships/hyperlink" Target="https://www.cancer.gov/research/nci-role/cancer-centers/find" TargetMode="External"/><Relationship Id="rId5" Type="http://schemas.openxmlformats.org/officeDocument/2006/relationships/hyperlink" Target="https://www.facs.org/search/cancer-programs" TargetMode="External"/><Relationship Id="rId4" Type="http://schemas.openxmlformats.org/officeDocument/2006/relationships/hyperlink" Target="https://www.facs.org/search/accredited-breast-center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C38"/>
  <sheetViews>
    <sheetView workbookViewId="0">
      <selection activeCell="E5" sqref="E5"/>
    </sheetView>
  </sheetViews>
  <sheetFormatPr defaultRowHeight="15" x14ac:dyDescent="0.25"/>
  <cols>
    <col min="1" max="1" width="200.85546875" customWidth="1"/>
  </cols>
  <sheetData>
    <row r="1" spans="1:29" s="259" customFormat="1" ht="27.75" customHeight="1" x14ac:dyDescent="0.25">
      <c r="A1" s="263" t="s">
        <v>3514</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row>
    <row r="2" spans="1:29" ht="90" x14ac:dyDescent="0.25">
      <c r="A2" s="255" t="s">
        <v>3515</v>
      </c>
    </row>
    <row r="3" spans="1:29" x14ac:dyDescent="0.25">
      <c r="A3" s="258" t="s">
        <v>3488</v>
      </c>
    </row>
    <row r="4" spans="1:29" ht="30" x14ac:dyDescent="0.25">
      <c r="A4" s="255" t="s">
        <v>3513</v>
      </c>
    </row>
    <row r="5" spans="1:29" x14ac:dyDescent="0.25">
      <c r="A5" s="258" t="s">
        <v>3489</v>
      </c>
    </row>
    <row r="6" spans="1:29" ht="38.25" customHeight="1" x14ac:dyDescent="0.25">
      <c r="A6" s="257" t="s">
        <v>3500</v>
      </c>
    </row>
    <row r="7" spans="1:29" x14ac:dyDescent="0.25">
      <c r="A7" s="258" t="s">
        <v>3490</v>
      </c>
    </row>
    <row r="8" spans="1:29" ht="90" x14ac:dyDescent="0.25">
      <c r="A8" s="256" t="s">
        <v>3517</v>
      </c>
    </row>
    <row r="9" spans="1:29" x14ac:dyDescent="0.25">
      <c r="A9" s="258" t="s">
        <v>3491</v>
      </c>
    </row>
    <row r="10" spans="1:29" ht="30" x14ac:dyDescent="0.25">
      <c r="A10" s="255" t="s">
        <v>3537</v>
      </c>
    </row>
    <row r="11" spans="1:29" x14ac:dyDescent="0.25">
      <c r="A11" s="258" t="s">
        <v>3492</v>
      </c>
    </row>
    <row r="12" spans="1:29" ht="45" x14ac:dyDescent="0.25">
      <c r="A12" s="255" t="s">
        <v>3520</v>
      </c>
    </row>
    <row r="13" spans="1:29" x14ac:dyDescent="0.25">
      <c r="A13" s="1" t="s">
        <v>3510</v>
      </c>
    </row>
    <row r="14" spans="1:29" x14ac:dyDescent="0.25">
      <c r="A14" s="261" t="s">
        <v>3507</v>
      </c>
    </row>
    <row r="15" spans="1:29" x14ac:dyDescent="0.25">
      <c r="A15" s="261" t="s">
        <v>3508</v>
      </c>
    </row>
    <row r="16" spans="1:29" x14ac:dyDescent="0.25">
      <c r="A16" s="258" t="s">
        <v>3493</v>
      </c>
    </row>
    <row r="17" spans="1:1" ht="30" x14ac:dyDescent="0.25">
      <c r="A17" s="255" t="s">
        <v>3501</v>
      </c>
    </row>
    <row r="18" spans="1:1" ht="30" x14ac:dyDescent="0.25">
      <c r="A18" s="256" t="s">
        <v>3502</v>
      </c>
    </row>
    <row r="19" spans="1:1" x14ac:dyDescent="0.25">
      <c r="A19" s="1" t="s">
        <v>3510</v>
      </c>
    </row>
    <row r="20" spans="1:1" x14ac:dyDescent="0.25">
      <c r="A20" s="261" t="s">
        <v>3509</v>
      </c>
    </row>
    <row r="21" spans="1:1" x14ac:dyDescent="0.25">
      <c r="A21" s="261" t="s">
        <v>3508</v>
      </c>
    </row>
    <row r="22" spans="1:1" x14ac:dyDescent="0.25">
      <c r="A22" s="258" t="s">
        <v>117</v>
      </c>
    </row>
    <row r="23" spans="1:1" ht="75" x14ac:dyDescent="0.25">
      <c r="A23" s="255" t="s">
        <v>3540</v>
      </c>
    </row>
    <row r="24" spans="1:1" x14ac:dyDescent="0.25">
      <c r="A24" s="1" t="s">
        <v>3510</v>
      </c>
    </row>
    <row r="25" spans="1:1" x14ac:dyDescent="0.25">
      <c r="A25" s="261" t="s">
        <v>3512</v>
      </c>
    </row>
    <row r="26" spans="1:1" x14ac:dyDescent="0.25">
      <c r="A26" s="261" t="s">
        <v>3511</v>
      </c>
    </row>
    <row r="27" spans="1:1" x14ac:dyDescent="0.25">
      <c r="A27" s="258" t="s">
        <v>3494</v>
      </c>
    </row>
    <row r="28" spans="1:1" x14ac:dyDescent="0.25">
      <c r="A28" t="s">
        <v>3503</v>
      </c>
    </row>
    <row r="29" spans="1:1" x14ac:dyDescent="0.25">
      <c r="A29" s="258" t="s">
        <v>3495</v>
      </c>
    </row>
    <row r="30" spans="1:1" ht="30" x14ac:dyDescent="0.25">
      <c r="A30" s="255" t="s">
        <v>3504</v>
      </c>
    </row>
    <row r="31" spans="1:1" x14ac:dyDescent="0.25">
      <c r="A31" s="258" t="s">
        <v>3496</v>
      </c>
    </row>
    <row r="32" spans="1:1" ht="47.25" customHeight="1" x14ac:dyDescent="0.25">
      <c r="A32" s="256" t="s">
        <v>3506</v>
      </c>
    </row>
    <row r="33" spans="1:1" x14ac:dyDescent="0.25">
      <c r="A33" s="258" t="s">
        <v>3497</v>
      </c>
    </row>
    <row r="34" spans="1:1" ht="30" x14ac:dyDescent="0.25">
      <c r="A34" s="255" t="s">
        <v>3505</v>
      </c>
    </row>
    <row r="35" spans="1:1" x14ac:dyDescent="0.25">
      <c r="A35" s="258" t="s">
        <v>3498</v>
      </c>
    </row>
    <row r="36" spans="1:1" ht="75" x14ac:dyDescent="0.25">
      <c r="A36" s="255" t="s">
        <v>3539</v>
      </c>
    </row>
    <row r="37" spans="1:1" x14ac:dyDescent="0.25">
      <c r="A37" s="258" t="s">
        <v>3499</v>
      </c>
    </row>
    <row r="38" spans="1:1" ht="30" x14ac:dyDescent="0.25">
      <c r="A38" s="255" t="s">
        <v>3516</v>
      </c>
    </row>
  </sheetData>
  <hyperlinks>
    <hyperlink ref="A14" r:id="rId1"/>
    <hyperlink ref="A20" r:id="rId2" display="BICOE (Breast Imaging Center of Excellence)"/>
    <hyperlink ref="A15" r:id="rId3"/>
    <hyperlink ref="A21" r:id="rId4"/>
    <hyperlink ref="A25" r:id="rId5"/>
    <hyperlink ref="A26"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A1:L47"/>
  <sheetViews>
    <sheetView topLeftCell="A13" zoomScale="70" zoomScaleNormal="70" workbookViewId="0">
      <selection activeCell="B39" sqref="B39"/>
    </sheetView>
  </sheetViews>
  <sheetFormatPr defaultRowHeight="14.25" x14ac:dyDescent="0.2"/>
  <cols>
    <col min="1" max="1" width="41.140625" style="16" customWidth="1"/>
    <col min="2" max="2" width="29.140625" style="16" customWidth="1"/>
    <col min="3" max="3" width="24.42578125" style="15" customWidth="1"/>
    <col min="4" max="4" width="19.42578125" style="15" customWidth="1"/>
    <col min="5" max="5" width="23.42578125" style="15" customWidth="1"/>
    <col min="6" max="7" width="17.28515625" style="15" customWidth="1"/>
    <col min="8" max="9" width="19.5703125" style="15" customWidth="1"/>
    <col min="10" max="10" width="19" style="15" customWidth="1"/>
    <col min="11" max="11" width="25.42578125" style="3" customWidth="1"/>
    <col min="12" max="12" width="20.85546875" style="3" customWidth="1"/>
    <col min="13" max="16384" width="9.140625" style="3"/>
  </cols>
  <sheetData>
    <row r="1" spans="1:12" ht="29.25" customHeight="1" x14ac:dyDescent="0.2">
      <c r="A1" s="375" t="s">
        <v>245</v>
      </c>
      <c r="B1" s="376"/>
      <c r="C1" s="376"/>
      <c r="D1" s="376"/>
      <c r="E1" s="376"/>
      <c r="F1" s="376"/>
      <c r="G1" s="376"/>
      <c r="H1" s="376"/>
      <c r="I1" s="376"/>
      <c r="J1" s="376"/>
      <c r="K1" s="376"/>
      <c r="L1" s="376"/>
    </row>
    <row r="2" spans="1:12" ht="37.5" customHeight="1" x14ac:dyDescent="0.2">
      <c r="A2" s="377" t="s">
        <v>57</v>
      </c>
      <c r="B2" s="378"/>
      <c r="C2" s="378"/>
      <c r="D2" s="378"/>
      <c r="E2" s="378"/>
      <c r="F2" s="378"/>
      <c r="G2" s="378"/>
      <c r="H2" s="378"/>
      <c r="I2" s="378"/>
      <c r="J2" s="378"/>
      <c r="K2" s="378"/>
      <c r="L2" s="378"/>
    </row>
    <row r="3" spans="1:12" ht="37.5" customHeight="1" x14ac:dyDescent="0.2">
      <c r="A3" s="151" t="s">
        <v>255</v>
      </c>
      <c r="B3" s="152" t="s">
        <v>254</v>
      </c>
      <c r="C3" s="409" t="s">
        <v>326</v>
      </c>
      <c r="D3" s="410"/>
      <c r="E3" s="410"/>
      <c r="F3" s="410"/>
      <c r="G3" s="410"/>
      <c r="H3" s="410"/>
      <c r="I3" s="411"/>
      <c r="J3" s="407" t="s">
        <v>327</v>
      </c>
      <c r="K3" s="408"/>
      <c r="L3" s="408"/>
    </row>
    <row r="4" spans="1:12" ht="75.75" customHeight="1" x14ac:dyDescent="0.2">
      <c r="A4" s="150" t="s">
        <v>69</v>
      </c>
      <c r="B4" s="148" t="s">
        <v>170</v>
      </c>
      <c r="C4" s="176" t="s">
        <v>250</v>
      </c>
      <c r="D4" s="176" t="s">
        <v>251</v>
      </c>
      <c r="E4" s="176" t="s">
        <v>246</v>
      </c>
      <c r="F4" s="176" t="s">
        <v>373</v>
      </c>
      <c r="G4" s="176" t="s">
        <v>252</v>
      </c>
      <c r="H4" s="176" t="s">
        <v>248</v>
      </c>
      <c r="I4" s="143" t="s">
        <v>388</v>
      </c>
      <c r="J4" s="145" t="s">
        <v>247</v>
      </c>
      <c r="K4" s="137" t="s">
        <v>324</v>
      </c>
      <c r="L4" s="143" t="s">
        <v>388</v>
      </c>
    </row>
    <row r="5" spans="1:12" s="54" customFormat="1" ht="20.25" customHeight="1" x14ac:dyDescent="0.25">
      <c r="A5" s="68" t="s">
        <v>98</v>
      </c>
      <c r="B5" s="106">
        <f>COUNTIF('SERVICE ENTRY'!$AH$4:$AH$1200,'Diagnostic Services Report '!A5)</f>
        <v>0</v>
      </c>
      <c r="C5" s="92">
        <f>COUNTIFS('SERVICE ENTRY'!$AH$4:$AH$1200,'Diagnostic Services Report '!A5,'SERVICE ENTRY'!$G$4:$G$1200,"American Indian or Alaska Native")</f>
        <v>0</v>
      </c>
      <c r="D5" s="42">
        <f>COUNTIFS('SERVICE ENTRY'!$AH$4:$AH$1200,'Diagnostic Services Report '!A5,'SERVICE ENTRY'!$G$4:$G$1200,"Asian")</f>
        <v>0</v>
      </c>
      <c r="E5" s="42">
        <f>COUNTIFS('SERVICE ENTRY'!$AH$4:$AH$1200,'Diagnostic Services Report '!A5,'SERVICE ENTRY'!$G$4:$G$1200,"Black/African-American")</f>
        <v>0</v>
      </c>
      <c r="F5" s="42">
        <f>COUNTIFS('SERVICE ENTRY'!$AH$4:$AH$1200,'Diagnostic Services Report '!A5,'SERVICE ENTRY'!$G$4:$G$1200,"Middle Eastern or North African")</f>
        <v>0</v>
      </c>
      <c r="G5" s="100">
        <f>COUNTIFS('SERVICE ENTRY'!$AH$4:$AH$1200,'Diagnostic Services Report '!A5,'SERVICE ENTRY'!$G$4:$G$1200,"Native Hawaiian or Pacific Islander")</f>
        <v>0</v>
      </c>
      <c r="H5" s="100">
        <f>COUNTIFS('SERVICE ENTRY'!$AH$4:$AH$1200,'Diagnostic Services Report '!A5,'SERVICE ENTRY'!$G$4:$G$1200,"White")</f>
        <v>0</v>
      </c>
      <c r="I5" s="106">
        <f>COUNTIFS('SERVICE ENTRY'!$AH$4:$AH$1200,'Diagnostic Services Report '!A5,'SERVICE ENTRY'!$G$4:$G$1200,"Unknown or Other")</f>
        <v>0</v>
      </c>
      <c r="J5" s="102">
        <f>COUNTIFS('SERVICE ENTRY'!$AH$4:$AH$1200,'Diagnostic Services Report '!A5,'SERVICE ENTRY'!$F$4:$F$1200,"Colombian")+COUNTIFS('SERVICE ENTRY'!$AH$4:$AH$1200,'Diagnostic Services Report '!A5,'SERVICE ENTRY'!$F$4:$F$1200,"Cuban")+COUNTIFS('SERVICE ENTRY'!$AH$4:$AH$1200,'Diagnostic Services Report '!A5,'SERVICE ENTRY'!$F$4:$F$1200,"Dominican")+COUNTIFS('SERVICE ENTRY'!$AH$4:$AH$1200,'Diagnostic Services Report '!A5,'SERVICE ENTRY'!$F$4:$F$1200,"Mexican/Mexican-American/Chicano")+COUNTIFS('SERVICE ENTRY'!$AH$4:$AH$1200,'Diagnostic Services Report '!A5,'SERVICE ENTRY'!$F$4:$F$1200,"Puerto Rican")+COUNTIFS('SERVICE ENTRY'!$AH$4:$AH$1200,'Diagnostic Services Report '!A5,'SERVICE ENTRY'!$F$4:$F$1200,"Salvadoran")+COUNTIFS('SERVICE ENTRY'!$AH$4:$AH$1200,'Diagnostic Services Report '!A5,'SERVICE ENTRY'!$F$4:$F$1200,"Other Hispanic/Latino/Spanish origin")</f>
        <v>0</v>
      </c>
      <c r="K5" s="42">
        <f>COUNTIFS('SERVICE ENTRY'!$AH$4:$AH$1200,'Diagnostic Services Report '!A5,'SERVICE ENTRY'!$F$4:$F$1200,"Not of Hispanic/Latino/Spanish origin")</f>
        <v>0</v>
      </c>
      <c r="L5" s="210">
        <f>COUNTIFS('SERVICE ENTRY'!$AH$4:$AH$1200,'Diagnostic Services Report '!A5,'SERVICE ENTRY'!$F$4:$F$1200,"Unknown or Other")</f>
        <v>0</v>
      </c>
    </row>
    <row r="6" spans="1:12" s="54" customFormat="1" ht="15" x14ac:dyDescent="0.25">
      <c r="A6" s="68" t="s">
        <v>70</v>
      </c>
      <c r="B6" s="106">
        <f>COUNTIF('SERVICE ENTRY'!$AH$4:$AH$1200,'Diagnostic Services Report '!A6)</f>
        <v>0</v>
      </c>
      <c r="C6" s="92">
        <f>COUNTIFS('SERVICE ENTRY'!$AH$4:$AH$1200,'Diagnostic Services Report '!A6,'SERVICE ENTRY'!$G$4:$G$1200,"American Indian or Alaska Native")</f>
        <v>0</v>
      </c>
      <c r="D6" s="42">
        <f>COUNTIFS('SERVICE ENTRY'!$AH$4:$AH$1200,'Diagnostic Services Report '!A6,'SERVICE ENTRY'!$G$4:$G$1200,"Asian")</f>
        <v>0</v>
      </c>
      <c r="E6" s="42">
        <f>COUNTIFS('SERVICE ENTRY'!$AH$4:$AH$1200,'Diagnostic Services Report '!A6,'SERVICE ENTRY'!$G$4:$G$1200,"Black/African-American")</f>
        <v>0</v>
      </c>
      <c r="F6" s="42">
        <f>COUNTIFS('SERVICE ENTRY'!$AH$4:$AH$1200,'Diagnostic Services Report '!A6,'SERVICE ENTRY'!$G$4:$G$1200,"Middle Eastern or North African")</f>
        <v>0</v>
      </c>
      <c r="G6" s="100">
        <f>COUNTIFS('SERVICE ENTRY'!$AH$4:$AH$1200,'Diagnostic Services Report '!A6,'SERVICE ENTRY'!$G$4:$G$1200,"Native Hawaiian or Pacific Islander")</f>
        <v>0</v>
      </c>
      <c r="H6" s="100">
        <f>COUNTIFS('SERVICE ENTRY'!$AH$4:$AH$1200,'Diagnostic Services Report '!A6,'SERVICE ENTRY'!$G$4:$G$1200,"White")</f>
        <v>0</v>
      </c>
      <c r="I6" s="106">
        <f>COUNTIFS('SERVICE ENTRY'!$AH$4:$AH$1200,'Diagnostic Services Report '!A6,'SERVICE ENTRY'!$G$4:$G$1200,"Unknown or Other")</f>
        <v>0</v>
      </c>
      <c r="J6" s="102">
        <f>COUNTIFS('SERVICE ENTRY'!$AH$4:$AH$1200,'Diagnostic Services Report '!A6,'SERVICE ENTRY'!$F$4:$F$1200,"Colombian")+COUNTIFS('SERVICE ENTRY'!$AH$4:$AH$1200,'Diagnostic Services Report '!A6,'SERVICE ENTRY'!$F$4:$F$1200,"Cuban")+COUNTIFS('SERVICE ENTRY'!$AH$4:$AH$1200,'Diagnostic Services Report '!A6,'SERVICE ENTRY'!$F$4:$F$1200,"Dominican")+COUNTIFS('SERVICE ENTRY'!$AH$4:$AH$1200,'Diagnostic Services Report '!A6,'SERVICE ENTRY'!$F$4:$F$1200,"Mexican/Mexican-American/Chicano")+COUNTIFS('SERVICE ENTRY'!$AH$4:$AH$1200,'Diagnostic Services Report '!A6,'SERVICE ENTRY'!$F$4:$F$1200,"Puerto Rican")+COUNTIFS('SERVICE ENTRY'!$AH$4:$AH$1200,'Diagnostic Services Report '!A6,'SERVICE ENTRY'!$F$4:$F$1200,"Salvadoran")+COUNTIFS('SERVICE ENTRY'!$AH$4:$AH$1200,'Diagnostic Services Report '!A6,'SERVICE ENTRY'!$F$4:$F$1200,"Other Hispanic/Latino/Spanish origin")</f>
        <v>0</v>
      </c>
      <c r="K6" s="42">
        <f>COUNTIFS('SERVICE ENTRY'!$AH$4:$AH$1200,'Diagnostic Services Report '!A6,'SERVICE ENTRY'!$F$4:$F$1200,"Not of Hispanic/Latino/Spanish origin")</f>
        <v>0</v>
      </c>
      <c r="L6" s="210">
        <f>COUNTIFS('SERVICE ENTRY'!$AH$4:$AH$1200,'Diagnostic Services Report '!A6,'SERVICE ENTRY'!$F$4:$F$1200,"Unknown or Other")</f>
        <v>0</v>
      </c>
    </row>
    <row r="7" spans="1:12" s="54" customFormat="1" ht="15" x14ac:dyDescent="0.25">
      <c r="A7" s="68" t="s">
        <v>72</v>
      </c>
      <c r="B7" s="106">
        <f>COUNTIF('SERVICE ENTRY'!$AH$4:$AH$1200,'Diagnostic Services Report '!A7)</f>
        <v>0</v>
      </c>
      <c r="C7" s="92">
        <f>COUNTIFS('SERVICE ENTRY'!$AH$4:$AH$1200,'Diagnostic Services Report '!A7,'SERVICE ENTRY'!$G$4:$G$1200,"American Indian or Alaska Native")</f>
        <v>0</v>
      </c>
      <c r="D7" s="42">
        <f>COUNTIFS('SERVICE ENTRY'!$AH$4:$AH$1200,'Diagnostic Services Report '!A7,'SERVICE ENTRY'!$G$4:$G$1200,"Asian")</f>
        <v>0</v>
      </c>
      <c r="E7" s="42">
        <f>COUNTIFS('SERVICE ENTRY'!$AH$4:$AH$1200,'Diagnostic Services Report '!A7,'SERVICE ENTRY'!$G$4:$G$1200,"Black/African-American")</f>
        <v>0</v>
      </c>
      <c r="F7" s="42">
        <f>COUNTIFS('SERVICE ENTRY'!$AH$4:$AH$1200,'Diagnostic Services Report '!A7,'SERVICE ENTRY'!$G$4:$G$1200,"Middle Eastern or North African")</f>
        <v>0</v>
      </c>
      <c r="G7" s="100">
        <f>COUNTIFS('SERVICE ENTRY'!$AH$4:$AH$1200,'Diagnostic Services Report '!A7,'SERVICE ENTRY'!$G$4:$G$1200,"Native Hawaiian or Pacific Islander")</f>
        <v>0</v>
      </c>
      <c r="H7" s="100">
        <f>COUNTIFS('SERVICE ENTRY'!$AH$4:$AH$1200,'Diagnostic Services Report '!A7,'SERVICE ENTRY'!$G$4:$G$1200,"White")</f>
        <v>0</v>
      </c>
      <c r="I7" s="106">
        <f>COUNTIFS('SERVICE ENTRY'!$AH$4:$AH$1200,'Diagnostic Services Report '!A7,'SERVICE ENTRY'!$G$4:$G$1200,"Unknown or Other")</f>
        <v>0</v>
      </c>
      <c r="J7" s="102">
        <f>COUNTIFS('SERVICE ENTRY'!$AH$4:$AH$1200,'Diagnostic Services Report '!A7,'SERVICE ENTRY'!$F$4:$F$1200,"Colombian")+COUNTIFS('SERVICE ENTRY'!$AH$4:$AH$1200,'Diagnostic Services Report '!A7,'SERVICE ENTRY'!$F$4:$F$1200,"Cuban")+COUNTIFS('SERVICE ENTRY'!$AH$4:$AH$1200,'Diagnostic Services Report '!A7,'SERVICE ENTRY'!$F$4:$F$1200,"Dominican")+COUNTIFS('SERVICE ENTRY'!$AH$4:$AH$1200,'Diagnostic Services Report '!A7,'SERVICE ENTRY'!$F$4:$F$1200,"Mexican/Mexican-American/Chicano")+COUNTIFS('SERVICE ENTRY'!$AH$4:$AH$1200,'Diagnostic Services Report '!A7,'SERVICE ENTRY'!$F$4:$F$1200,"Puerto Rican")+COUNTIFS('SERVICE ENTRY'!$AH$4:$AH$1200,'Diagnostic Services Report '!A7,'SERVICE ENTRY'!$F$4:$F$1200,"Salvadoran")+COUNTIFS('SERVICE ENTRY'!$AH$4:$AH$1200,'Diagnostic Services Report '!A7,'SERVICE ENTRY'!$F$4:$F$1200,"Other Hispanic/Latino/Spanish origin")</f>
        <v>0</v>
      </c>
      <c r="K7" s="42">
        <f>COUNTIFS('SERVICE ENTRY'!$AH$4:$AH$1200,'Diagnostic Services Report '!A7,'SERVICE ENTRY'!$F$4:$F$1200,"Not of Hispanic/Latino/Spanish origin")</f>
        <v>0</v>
      </c>
      <c r="L7" s="210">
        <f>COUNTIFS('SERVICE ENTRY'!$AH$4:$AH$1200,'Diagnostic Services Report '!A7,'SERVICE ENTRY'!$F$4:$F$1200,"Unknown or Other")</f>
        <v>0</v>
      </c>
    </row>
    <row r="8" spans="1:12" s="54" customFormat="1" ht="15" x14ac:dyDescent="0.25">
      <c r="A8" s="68" t="s">
        <v>139</v>
      </c>
      <c r="B8" s="106">
        <f>COUNTIF('SERVICE ENTRY'!$AH$4:$AH$1200,'Diagnostic Services Report '!A8)</f>
        <v>0</v>
      </c>
      <c r="C8" s="92">
        <f>COUNTIFS('SERVICE ENTRY'!$AH$4:$AH$1200,'Diagnostic Services Report '!A8,'SERVICE ENTRY'!$G$4:$G$1200,"American Indian or Alaska Native")</f>
        <v>0</v>
      </c>
      <c r="D8" s="42">
        <f>COUNTIFS('SERVICE ENTRY'!$AH$4:$AH$1200,'Diagnostic Services Report '!A8,'SERVICE ENTRY'!$G$4:$G$1200,"Asian")</f>
        <v>0</v>
      </c>
      <c r="E8" s="42">
        <f>COUNTIFS('SERVICE ENTRY'!$AH$4:$AH$1200,'Diagnostic Services Report '!A8,'SERVICE ENTRY'!$G$4:$G$1200,"Black/African-American")</f>
        <v>0</v>
      </c>
      <c r="F8" s="42">
        <f>COUNTIFS('SERVICE ENTRY'!$AH$4:$AH$1200,'Diagnostic Services Report '!A8,'SERVICE ENTRY'!$G$4:$G$1200,"Middle Eastern or North African")</f>
        <v>0</v>
      </c>
      <c r="G8" s="100">
        <f>COUNTIFS('SERVICE ENTRY'!$AH$4:$AH$1200,'Diagnostic Services Report '!A8,'SERVICE ENTRY'!$G$4:$G$1200,"Native Hawaiian or Pacific Islander")</f>
        <v>0</v>
      </c>
      <c r="H8" s="100">
        <f>COUNTIFS('SERVICE ENTRY'!$AH$4:$AH$1200,'Diagnostic Services Report '!A8,'SERVICE ENTRY'!$G$4:$G$1200,"White")</f>
        <v>0</v>
      </c>
      <c r="I8" s="106">
        <f>COUNTIFS('SERVICE ENTRY'!$AH$4:$AH$1200,'Diagnostic Services Report '!A8,'SERVICE ENTRY'!$G$4:$G$1200,"Unknown or Other")</f>
        <v>0</v>
      </c>
      <c r="J8" s="102">
        <f>COUNTIFS('SERVICE ENTRY'!$AH$4:$AH$1200,'Diagnostic Services Report '!A8,'SERVICE ENTRY'!$F$4:$F$1200,"Colombian")+COUNTIFS('SERVICE ENTRY'!$AH$4:$AH$1200,'Diagnostic Services Report '!A8,'SERVICE ENTRY'!$F$4:$F$1200,"Cuban")+COUNTIFS('SERVICE ENTRY'!$AH$4:$AH$1200,'Diagnostic Services Report '!A8,'SERVICE ENTRY'!$F$4:$F$1200,"Dominican")+COUNTIFS('SERVICE ENTRY'!$AH$4:$AH$1200,'Diagnostic Services Report '!A8,'SERVICE ENTRY'!$F$4:$F$1200,"Mexican/Mexican-American/Chicano")+COUNTIFS('SERVICE ENTRY'!$AH$4:$AH$1200,'Diagnostic Services Report '!A8,'SERVICE ENTRY'!$F$4:$F$1200,"Puerto Rican")+COUNTIFS('SERVICE ENTRY'!$AH$4:$AH$1200,'Diagnostic Services Report '!A8,'SERVICE ENTRY'!$F$4:$F$1200,"Salvadoran")+COUNTIFS('SERVICE ENTRY'!$AH$4:$AH$1200,'Diagnostic Services Report '!A8,'SERVICE ENTRY'!$F$4:$F$1200,"Other Hispanic/Latino/Spanish origin")</f>
        <v>0</v>
      </c>
      <c r="K8" s="42">
        <f>COUNTIFS('SERVICE ENTRY'!$AH$4:$AH$1200,'Diagnostic Services Report '!A8,'SERVICE ENTRY'!$F$4:$F$1200,"Not of Hispanic/Latino/Spanish origin")</f>
        <v>0</v>
      </c>
      <c r="L8" s="210">
        <f>COUNTIFS('SERVICE ENTRY'!$AH$4:$AH$1200,'Diagnostic Services Report '!A8,'SERVICE ENTRY'!$F$4:$F$1200,"Unknown or Other")</f>
        <v>0</v>
      </c>
    </row>
    <row r="9" spans="1:12" s="54" customFormat="1" ht="15.75" thickBot="1" x14ac:dyDescent="0.3">
      <c r="A9" s="113" t="s">
        <v>122</v>
      </c>
      <c r="B9" s="106">
        <f>COUNTIF('SERVICE ENTRY'!$AH$4:$AH$1200,'Diagnostic Services Report '!A9)</f>
        <v>0</v>
      </c>
      <c r="C9" s="104">
        <f>COUNTIFS('SERVICE ENTRY'!$AH$4:$AH$1200,'Diagnostic Services Report '!A9,'SERVICE ENTRY'!$G$4:$G$1200,"American Indian or Alaska Native")</f>
        <v>0</v>
      </c>
      <c r="D9" s="98">
        <f>COUNTIFS('SERVICE ENTRY'!$AH$4:$AH$1200,'Diagnostic Services Report '!A9,'SERVICE ENTRY'!$G$4:$G$1200,"Asian")</f>
        <v>0</v>
      </c>
      <c r="E9" s="98">
        <f>COUNTIFS('SERVICE ENTRY'!$AH$4:$AH$1200,'Diagnostic Services Report '!A9,'SERVICE ENTRY'!$G$4:$G$1200,"Black/African-American")</f>
        <v>0</v>
      </c>
      <c r="F9" s="98">
        <f>COUNTIFS('SERVICE ENTRY'!$AH$4:$AH$1200,'Diagnostic Services Report '!A9,'SERVICE ENTRY'!$G$4:$G$1200,"Middle Eastern or North African")</f>
        <v>0</v>
      </c>
      <c r="G9" s="103">
        <f>COUNTIFS('SERVICE ENTRY'!$AH$4:$AH$1200,'Diagnostic Services Report '!A9,'SERVICE ENTRY'!$G$4:$G$1200,"Native Hawaiian or Pacific Islander")</f>
        <v>0</v>
      </c>
      <c r="H9" s="103">
        <f>COUNTIFS('SERVICE ENTRY'!$AH$4:$AH$1200,'Diagnostic Services Report '!A9,'SERVICE ENTRY'!$G$4:$G$1200,"White")</f>
        <v>0</v>
      </c>
      <c r="I9" s="109">
        <f>COUNTIFS('SERVICE ENTRY'!$AH$4:$AH$1200,'Diagnostic Services Report '!A9,'SERVICE ENTRY'!$G$4:$G$1200,"Unknown or Other")</f>
        <v>0</v>
      </c>
      <c r="J9" s="104">
        <f>COUNTIFS('SERVICE ENTRY'!$AH$4:$AH$1200,'Diagnostic Services Report '!A9,'SERVICE ENTRY'!$F$4:$F$1200,"Colombian")+COUNTIFS('SERVICE ENTRY'!$AH$4:$AH$1200,'Diagnostic Services Report '!A9,'SERVICE ENTRY'!$F$4:$F$1200,"Cuban")+COUNTIFS('SERVICE ENTRY'!$AH$4:$AH$1200,'Diagnostic Services Report '!A9,'SERVICE ENTRY'!$F$4:$F$1200,"Dominican")+COUNTIFS('SERVICE ENTRY'!$AH$4:$AH$1200,'Diagnostic Services Report '!A9,'SERVICE ENTRY'!$F$4:$F$1200,"Mexican/Mexican-American/Chicano")+COUNTIFS('SERVICE ENTRY'!$AH$4:$AH$1200,'Diagnostic Services Report '!A9,'SERVICE ENTRY'!$F$4:$F$1200,"Puerto Rican")+COUNTIFS('SERVICE ENTRY'!$AH$4:$AH$1200,'Diagnostic Services Report '!A9,'SERVICE ENTRY'!$F$4:$F$1200,"Salvadoran")+COUNTIFS('SERVICE ENTRY'!$AH$4:$AH$1200,'Diagnostic Services Report '!A9,'SERVICE ENTRY'!$F$4:$F$1200,"Other Hispanic/Latino/Spanish origin")</f>
        <v>0</v>
      </c>
      <c r="K9" s="98">
        <f>COUNTIFS('SERVICE ENTRY'!$AH$4:$AH$1200,'Diagnostic Services Report '!A9,'SERVICE ENTRY'!$F$4:$F$1200,"Not of Hispanic/Latino/Spanish origin")</f>
        <v>0</v>
      </c>
      <c r="L9" s="211">
        <f>COUNTIFS('SERVICE ENTRY'!$AH$4:$AH$1200,'Diagnostic Services Report '!A9,'SERVICE ENTRY'!$F$4:$F$1200,"Unknown or Other")</f>
        <v>0</v>
      </c>
    </row>
    <row r="10" spans="1:12" s="54" customFormat="1" ht="15.75" thickBot="1" x14ac:dyDescent="0.3">
      <c r="A10" s="365" t="s">
        <v>269</v>
      </c>
      <c r="B10" s="367">
        <f>SUM(B4:B9)</f>
        <v>0</v>
      </c>
      <c r="C10" s="198">
        <f>SUM(C5:C9)</f>
        <v>0</v>
      </c>
      <c r="D10" s="192">
        <f t="shared" ref="D10:L10" si="0">SUM(D5:D9)</f>
        <v>0</v>
      </c>
      <c r="E10" s="192">
        <f t="shared" si="0"/>
        <v>0</v>
      </c>
      <c r="F10" s="192">
        <f t="shared" si="0"/>
        <v>0</v>
      </c>
      <c r="G10" s="192">
        <f t="shared" si="0"/>
        <v>0</v>
      </c>
      <c r="H10" s="192">
        <f t="shared" si="0"/>
        <v>0</v>
      </c>
      <c r="I10" s="193">
        <f t="shared" si="0"/>
        <v>0</v>
      </c>
      <c r="J10" s="198">
        <f t="shared" si="0"/>
        <v>0</v>
      </c>
      <c r="K10" s="192">
        <f t="shared" si="0"/>
        <v>0</v>
      </c>
      <c r="L10" s="192">
        <f t="shared" si="0"/>
        <v>0</v>
      </c>
    </row>
    <row r="11" spans="1:12" s="54" customFormat="1" ht="24.75" customHeight="1" thickBot="1" x14ac:dyDescent="0.3">
      <c r="A11" s="366"/>
      <c r="B11" s="368"/>
      <c r="C11" s="387">
        <f>SUM(C10:I10)</f>
        <v>0</v>
      </c>
      <c r="D11" s="370"/>
      <c r="E11" s="370"/>
      <c r="F11" s="370"/>
      <c r="G11" s="370"/>
      <c r="H11" s="370"/>
      <c r="I11" s="370"/>
      <c r="J11" s="369">
        <f>SUM(J10:L10)</f>
        <v>0</v>
      </c>
      <c r="K11" s="370"/>
      <c r="L11" s="371"/>
    </row>
    <row r="12" spans="1:12" s="54" customFormat="1" ht="12.75" customHeight="1" x14ac:dyDescent="0.2">
      <c r="A12" s="16"/>
      <c r="B12" s="16"/>
      <c r="C12" s="16"/>
      <c r="D12" s="16"/>
      <c r="E12" s="16"/>
      <c r="F12" s="16"/>
      <c r="G12" s="16"/>
      <c r="H12" s="16"/>
      <c r="I12" s="16"/>
      <c r="J12" s="16"/>
    </row>
    <row r="13" spans="1:12" s="54" customFormat="1" ht="12.75" customHeight="1" x14ac:dyDescent="0.2">
      <c r="A13" s="16"/>
      <c r="B13" s="16"/>
      <c r="C13" s="16"/>
      <c r="D13" s="16"/>
      <c r="E13" s="16"/>
      <c r="F13" s="16"/>
      <c r="G13" s="16"/>
      <c r="H13" s="16"/>
      <c r="I13" s="16"/>
      <c r="J13" s="16"/>
    </row>
    <row r="14" spans="1:12" s="54" customFormat="1" ht="60" x14ac:dyDescent="0.2">
      <c r="A14" s="137" t="s">
        <v>223</v>
      </c>
      <c r="B14" s="149" t="s">
        <v>226</v>
      </c>
      <c r="C14" s="176" t="s">
        <v>250</v>
      </c>
      <c r="D14" s="176" t="s">
        <v>251</v>
      </c>
      <c r="E14" s="176" t="s">
        <v>246</v>
      </c>
      <c r="F14" s="176" t="s">
        <v>373</v>
      </c>
      <c r="G14" s="176" t="s">
        <v>252</v>
      </c>
      <c r="H14" s="176" t="s">
        <v>248</v>
      </c>
      <c r="I14" s="143" t="s">
        <v>388</v>
      </c>
      <c r="J14" s="145" t="s">
        <v>247</v>
      </c>
      <c r="K14" s="137" t="s">
        <v>324</v>
      </c>
      <c r="L14" s="143" t="s">
        <v>388</v>
      </c>
    </row>
    <row r="15" spans="1:12" s="54" customFormat="1" ht="15" x14ac:dyDescent="0.25">
      <c r="A15" s="68" t="s">
        <v>204</v>
      </c>
      <c r="B15" s="232">
        <f>COUNTIF('SERVICE ENTRY'!$AI$4:$AI$1200,'Diagnostic Services Report '!A15)</f>
        <v>0</v>
      </c>
      <c r="C15" s="102">
        <f>COUNTIFS('SERVICE ENTRY'!$AI$4:$AI$1200,'Diagnostic Services Report '!A15,'SERVICE ENTRY'!$G$4:$G$1200,"American Indian or Alaska Native")</f>
        <v>0</v>
      </c>
      <c r="D15" s="42">
        <f>COUNTIFS('SERVICE ENTRY'!$AI$4:$AI$1200,'Diagnostic Services Report '!A15,'SERVICE ENTRY'!$G$4:$G$1200,"Asian")</f>
        <v>0</v>
      </c>
      <c r="E15" s="42">
        <f>COUNTIFS('SERVICE ENTRY'!$AI$4:$AI$1200,'Diagnostic Services Report '!A15,'SERVICE ENTRY'!$G$4:$G$1200,"Black/African-American")</f>
        <v>0</v>
      </c>
      <c r="F15" s="42">
        <f>COUNTIFS('SERVICE ENTRY'!$AI$4:$AI$1200,'Diagnostic Services Report '!A14,'SERVICE ENTRY'!$G$4:$G$1200,"Middle Eastern or North African")</f>
        <v>0</v>
      </c>
      <c r="G15" s="42">
        <f>COUNTIFS('SERVICE ENTRY'!$AI$4:$AI$1200,'Diagnostic Services Report '!A15,'SERVICE ENTRY'!$G$4:$G$1200,"Native Hawaiian or Pacific Islander")</f>
        <v>0</v>
      </c>
      <c r="H15" s="42">
        <f>COUNTIFS('SERVICE ENTRY'!$AI$4:$AI$1200,'Diagnostic Services Report '!A15,'SERVICE ENTRY'!$G$4:$G$1200,"White")</f>
        <v>0</v>
      </c>
      <c r="I15" s="92">
        <f>COUNTIFS('SERVICE ENTRY'!$AI$4:$AI$1200,'Diagnostic Services Report '!A15,'SERVICE ENTRY'!$G$4:$G$1200,"Unknown or Other")</f>
        <v>0</v>
      </c>
      <c r="J15" s="102">
        <f>COUNTIFS('SERVICE ENTRY'!$AI$4:$AI$1200,'Diagnostic Services Report '!A15,'SERVICE ENTRY'!$F$4:$F$1200,"Colombian")+COUNTIFS('SERVICE ENTRY'!$AI$4:$AI$1200,'Diagnostic Services Report '!A15,'SERVICE ENTRY'!$F$4:$F$1200,"Cuban")+COUNTIFS('SERVICE ENTRY'!$AI$4:$AI$1200,'Diagnostic Services Report '!A15,'SERVICE ENTRY'!$F$4:$F$1200,"Dominican")+COUNTIFS('SERVICE ENTRY'!$AI$4:$AI$1200,'Diagnostic Services Report '!A15,'SERVICE ENTRY'!$F$4:$F$1200,"Mexican/Mexican-American/Chicano")+COUNTIFS('SERVICE ENTRY'!$AI$4:$AI$1200,'Diagnostic Services Report '!A15,'SERVICE ENTRY'!$F$4:$F$1200,"Puerto Rican")+COUNTIFS('SERVICE ENTRY'!$AI$4:$AI$1200,'Diagnostic Services Report '!A15,'SERVICE ENTRY'!$F$4:$F$1200,"Salvadoran")+COUNTIFS('SERVICE ENTRY'!$AI$4:$AI$1200,'Diagnostic Services Report '!A15,'SERVICE ENTRY'!$F$4:$F$1200,"Other Hispanic/Latino/Spanish origin")</f>
        <v>0</v>
      </c>
      <c r="K15" s="42">
        <f>+COUNTIFS('SERVICE ENTRY'!$AI$4:$AI$1200,'Diagnostic Services Report '!A15,'SERVICE ENTRY'!$F$4:$F$1200,"Not of Hispanic/Latino/Spanish origin")</f>
        <v>0</v>
      </c>
      <c r="L15" s="210">
        <f>+COUNTIFS('SERVICE ENTRY'!$AI$4:$AI$1200,'Diagnostic Services Report '!A15,'SERVICE ENTRY'!$F$4:$F$1200,"Unknown or Other")</f>
        <v>0</v>
      </c>
    </row>
    <row r="16" spans="1:12" s="54" customFormat="1" ht="15" x14ac:dyDescent="0.25">
      <c r="A16" s="68" t="s">
        <v>205</v>
      </c>
      <c r="B16" s="232">
        <f>COUNTIF('SERVICE ENTRY'!$AI$4:$AI$1200,'Diagnostic Services Report '!A16)</f>
        <v>0</v>
      </c>
      <c r="C16" s="102">
        <f>COUNTIFS('SERVICE ENTRY'!$AI$4:$AI$1200,'Diagnostic Services Report '!A16,'SERVICE ENTRY'!$G$4:$G$1200,"American Indian or Alaska Native")</f>
        <v>0</v>
      </c>
      <c r="D16" s="42">
        <f>COUNTIFS('SERVICE ENTRY'!$AI$4:$AI$1200,'Diagnostic Services Report '!A16,'SERVICE ENTRY'!$G$4:$G$1200,"Asian")</f>
        <v>0</v>
      </c>
      <c r="E16" s="42">
        <f>COUNTIFS('SERVICE ENTRY'!$AI$4:$AI$1200,'Diagnostic Services Report '!A16,'SERVICE ENTRY'!$G$4:$G$1200,"Black/African-American")</f>
        <v>0</v>
      </c>
      <c r="F16" s="42">
        <f>COUNTIFS('SERVICE ENTRY'!$AI$4:$AI$1200,'Diagnostic Services Report '!A15,'SERVICE ENTRY'!$G$4:$G$1200,"Middle Eastern or North African")</f>
        <v>0</v>
      </c>
      <c r="G16" s="42">
        <f>COUNTIFS('SERVICE ENTRY'!$AI$4:$AI$1200,'Diagnostic Services Report '!A16,'SERVICE ENTRY'!$G$4:$G$1200,"Native Hawaiian or Pacific Islander")</f>
        <v>0</v>
      </c>
      <c r="H16" s="42">
        <f>COUNTIFS('SERVICE ENTRY'!$AI$4:$AI$1200,'Diagnostic Services Report '!A16,'SERVICE ENTRY'!$G$4:$G$1200,"White")</f>
        <v>0</v>
      </c>
      <c r="I16" s="92">
        <f>COUNTIFS('SERVICE ENTRY'!$AI$4:$AI$1200,'Diagnostic Services Report '!A16,'SERVICE ENTRY'!$G$4:$G$1200,"Unknown or Other")</f>
        <v>0</v>
      </c>
      <c r="J16" s="102">
        <f>COUNTIFS('SERVICE ENTRY'!$AI$4:$AI$1200,'Diagnostic Services Report '!A16,'SERVICE ENTRY'!$F$4:$F$1200,"Colombian")+COUNTIFS('SERVICE ENTRY'!$AI$4:$AI$1200,'Diagnostic Services Report '!A16,'SERVICE ENTRY'!$F$4:$F$1200,"Cuban")+COUNTIFS('SERVICE ENTRY'!$AI$4:$AI$1200,'Diagnostic Services Report '!A16,'SERVICE ENTRY'!$F$4:$F$1200,"Dominican")+COUNTIFS('SERVICE ENTRY'!$AI$4:$AI$1200,'Diagnostic Services Report '!A16,'SERVICE ENTRY'!$F$4:$F$1200,"Mexican/Mexican-American/Chicano")+COUNTIFS('SERVICE ENTRY'!$AI$4:$AI$1200,'Diagnostic Services Report '!A16,'SERVICE ENTRY'!$F$4:$F$1200,"Puerto Rican")+COUNTIFS('SERVICE ENTRY'!$AI$4:$AI$1200,'Diagnostic Services Report '!A16,'SERVICE ENTRY'!$F$4:$F$1200,"Salvadoran")+COUNTIFS('SERVICE ENTRY'!$AI$4:$AI$1200,'Diagnostic Services Report '!A16,'SERVICE ENTRY'!$F$4:$F$1200,"Other Hispanic/Latino/Spanish origin")</f>
        <v>0</v>
      </c>
      <c r="K16" s="42">
        <f>+COUNTIFS('SERVICE ENTRY'!$AI$4:$AI$1200,'Diagnostic Services Report '!A16,'SERVICE ENTRY'!$F$4:$F$1200,"Not of Hispanic/Latino/Spanish origin")</f>
        <v>0</v>
      </c>
      <c r="L16" s="210">
        <f>+COUNTIFS('SERVICE ENTRY'!$AI$4:$AI$1200,'Diagnostic Services Report '!A16,'SERVICE ENTRY'!$F$4:$F$1200,"Unknown or Other")</f>
        <v>0</v>
      </c>
    </row>
    <row r="17" spans="1:12" s="54" customFormat="1" ht="15" x14ac:dyDescent="0.25">
      <c r="A17" s="68" t="s">
        <v>206</v>
      </c>
      <c r="B17" s="232">
        <f>COUNTIF('SERVICE ENTRY'!$AI$4:$AI$1200,'Diagnostic Services Report '!A17)</f>
        <v>0</v>
      </c>
      <c r="C17" s="102">
        <f>COUNTIFS('SERVICE ENTRY'!$AI$4:$AI$1200,'Diagnostic Services Report '!A17,'SERVICE ENTRY'!$G$4:$G$1200,"American Indian or Alaska Native")</f>
        <v>0</v>
      </c>
      <c r="D17" s="42">
        <f>COUNTIFS('SERVICE ENTRY'!$AI$4:$AI$1200,'Diagnostic Services Report '!A17,'SERVICE ENTRY'!$G$4:$G$1200,"Asian")</f>
        <v>0</v>
      </c>
      <c r="E17" s="42">
        <f>COUNTIFS('SERVICE ENTRY'!$AI$4:$AI$1200,'Diagnostic Services Report '!A17,'SERVICE ENTRY'!$G$4:$G$1200,"Black/African-American")</f>
        <v>0</v>
      </c>
      <c r="F17" s="42">
        <f>COUNTIFS('SERVICE ENTRY'!$AI$4:$AI$1200,'Diagnostic Services Report '!A16,'SERVICE ENTRY'!$G$4:$G$1200,"Middle Eastern or North African")</f>
        <v>0</v>
      </c>
      <c r="G17" s="42">
        <f>COUNTIFS('SERVICE ENTRY'!$AI$4:$AI$1200,'Diagnostic Services Report '!A17,'SERVICE ENTRY'!$G$4:$G$1200,"Native Hawaiian or Pacific Islander")</f>
        <v>0</v>
      </c>
      <c r="H17" s="42">
        <f>COUNTIFS('SERVICE ENTRY'!$AI$4:$AI$1200,'Diagnostic Services Report '!A17,'SERVICE ENTRY'!$G$4:$G$1200,"White")</f>
        <v>0</v>
      </c>
      <c r="I17" s="92">
        <f>COUNTIFS('SERVICE ENTRY'!$AI$4:$AI$1200,'Diagnostic Services Report '!A17,'SERVICE ENTRY'!$G$4:$G$1200,"Unknown or Other")</f>
        <v>0</v>
      </c>
      <c r="J17" s="102">
        <f>COUNTIFS('SERVICE ENTRY'!$AI$4:$AI$1200,'Diagnostic Services Report '!A17,'SERVICE ENTRY'!$F$4:$F$1200,"Colombian")+COUNTIFS('SERVICE ENTRY'!$AI$4:$AI$1200,'Diagnostic Services Report '!A17,'SERVICE ENTRY'!$F$4:$F$1200,"Cuban")+COUNTIFS('SERVICE ENTRY'!$AI$4:$AI$1200,'Diagnostic Services Report '!A17,'SERVICE ENTRY'!$F$4:$F$1200,"Dominican")+COUNTIFS('SERVICE ENTRY'!$AI$4:$AI$1200,'Diagnostic Services Report '!A17,'SERVICE ENTRY'!$F$4:$F$1200,"Mexican/Mexican-American/Chicano")+COUNTIFS('SERVICE ENTRY'!$AI$4:$AI$1200,'Diagnostic Services Report '!A17,'SERVICE ENTRY'!$F$4:$F$1200,"Puerto Rican")+COUNTIFS('SERVICE ENTRY'!$AI$4:$AI$1200,'Diagnostic Services Report '!A17,'SERVICE ENTRY'!$F$4:$F$1200,"Salvadoran")+COUNTIFS('SERVICE ENTRY'!$AI$4:$AI$1200,'Diagnostic Services Report '!A17,'SERVICE ENTRY'!$F$4:$F$1200,"Other Hispanic/Latino/Spanish origin")</f>
        <v>0</v>
      </c>
      <c r="K17" s="42">
        <f>+COUNTIFS('SERVICE ENTRY'!$AI$4:$AI$1200,'Diagnostic Services Report '!A17,'SERVICE ENTRY'!$F$4:$F$1200,"Not of Hispanic/Latino/Spanish origin")</f>
        <v>0</v>
      </c>
      <c r="L17" s="210">
        <f>+COUNTIFS('SERVICE ENTRY'!$AI$4:$AI$1200,'Diagnostic Services Report '!A17,'SERVICE ENTRY'!$F$4:$F$1200,"Unknown or Other")</f>
        <v>0</v>
      </c>
    </row>
    <row r="18" spans="1:12" s="54" customFormat="1" ht="15.75" thickBot="1" x14ac:dyDescent="0.3">
      <c r="A18" s="68" t="s">
        <v>207</v>
      </c>
      <c r="B18" s="232">
        <f>COUNTIF('SERVICE ENTRY'!$AI$4:$AI$1200,'Diagnostic Services Report '!A18)</f>
        <v>0</v>
      </c>
      <c r="C18" s="104">
        <f>COUNTIFS('SERVICE ENTRY'!$AI$4:$AI$1200,'Diagnostic Services Report '!A18,'SERVICE ENTRY'!$G$4:$G$1200,"American Indian or Alaska Native")</f>
        <v>0</v>
      </c>
      <c r="D18" s="42">
        <f>COUNTIFS('SERVICE ENTRY'!$AI$4:$AI$1200,'Diagnostic Services Report '!A18,'SERVICE ENTRY'!$G$4:$G$1200,"Asian")</f>
        <v>0</v>
      </c>
      <c r="E18" s="42">
        <f>COUNTIFS('SERVICE ENTRY'!$AI$4:$AI$1200,'Diagnostic Services Report '!A18,'SERVICE ENTRY'!$G$4:$G$1200,"Black/African-American")</f>
        <v>0</v>
      </c>
      <c r="F18" s="42">
        <f>COUNTIFS('SERVICE ENTRY'!$AI$4:$AI$1200,'Diagnostic Services Report '!A17,'SERVICE ENTRY'!$G$4:$G$1200,"Middle Eastern or North African")</f>
        <v>0</v>
      </c>
      <c r="G18" s="42">
        <f>COUNTIFS('SERVICE ENTRY'!$AI$4:$AI$1200,'Diagnostic Services Report '!A18,'SERVICE ENTRY'!$G$4:$G$1200,"Native Hawaiian or Pacific Islander")</f>
        <v>0</v>
      </c>
      <c r="H18" s="42">
        <f>COUNTIFS('SERVICE ENTRY'!$AI$4:$AI$1200,'Diagnostic Services Report '!A18,'SERVICE ENTRY'!$G$4:$G$1200,"White")</f>
        <v>0</v>
      </c>
      <c r="I18" s="92">
        <f>COUNTIFS('SERVICE ENTRY'!$AI$4:$AI$1200,'Diagnostic Services Report '!A18,'SERVICE ENTRY'!$G$4:$G$1200,"Unknown or Other")</f>
        <v>0</v>
      </c>
      <c r="J18" s="102">
        <f>COUNTIFS('SERVICE ENTRY'!$AI$4:$AI$1200,'Diagnostic Services Report '!A18,'SERVICE ENTRY'!$F$4:$F$1200,"Colombian")+COUNTIFS('SERVICE ENTRY'!$AI$4:$AI$1200,'Diagnostic Services Report '!A18,'SERVICE ENTRY'!$F$4:$F$1200,"Cuban")+COUNTIFS('SERVICE ENTRY'!$AI$4:$AI$1200,'Diagnostic Services Report '!A18,'SERVICE ENTRY'!$F$4:$F$1200,"Dominican")+COUNTIFS('SERVICE ENTRY'!$AI$4:$AI$1200,'Diagnostic Services Report '!A18,'SERVICE ENTRY'!$F$4:$F$1200,"Mexican/Mexican-American/Chicano")+COUNTIFS('SERVICE ENTRY'!$AI$4:$AI$1200,'Diagnostic Services Report '!A18,'SERVICE ENTRY'!$F$4:$F$1200,"Puerto Rican")+COUNTIFS('SERVICE ENTRY'!$AI$4:$AI$1200,'Diagnostic Services Report '!A18,'SERVICE ENTRY'!$F$4:$F$1200,"Salvadoran")+COUNTIFS('SERVICE ENTRY'!$AI$4:$AI$1200,'Diagnostic Services Report '!A18,'SERVICE ENTRY'!$F$4:$F$1200,"Other Hispanic/Latino/Spanish origin")</f>
        <v>0</v>
      </c>
      <c r="K18" s="42">
        <f>+COUNTIFS('SERVICE ENTRY'!$AI$4:$AI$1200,'Diagnostic Services Report '!A18,'SERVICE ENTRY'!$F$4:$F$1200,"Not of Hispanic/Latino/Spanish origin")</f>
        <v>0</v>
      </c>
      <c r="L18" s="210">
        <f>+COUNTIFS('SERVICE ENTRY'!$AI$4:$AI$1200,'Diagnostic Services Report '!A18,'SERVICE ENTRY'!$F$4:$F$1200,"Unknown or Other")</f>
        <v>0</v>
      </c>
    </row>
    <row r="19" spans="1:12" s="54" customFormat="1" ht="15.75" thickBot="1" x14ac:dyDescent="0.3">
      <c r="A19" s="52"/>
      <c r="B19" s="16"/>
      <c r="C19" s="369">
        <f>SUM(C15:I18)</f>
        <v>0</v>
      </c>
      <c r="D19" s="370"/>
      <c r="E19" s="370"/>
      <c r="F19" s="370"/>
      <c r="G19" s="370"/>
      <c r="H19" s="370"/>
      <c r="I19" s="370"/>
      <c r="J19" s="369">
        <f>SUM(J15:L18)</f>
        <v>0</v>
      </c>
      <c r="K19" s="370"/>
      <c r="L19" s="371"/>
    </row>
    <row r="20" spans="1:12" s="54" customFormat="1" x14ac:dyDescent="0.2">
      <c r="A20" s="16"/>
      <c r="B20" s="16"/>
      <c r="C20" s="16"/>
      <c r="D20" s="16"/>
      <c r="E20" s="16"/>
      <c r="F20" s="16"/>
      <c r="G20" s="16"/>
      <c r="H20" s="16"/>
      <c r="I20" s="16"/>
      <c r="J20" s="16"/>
    </row>
    <row r="21" spans="1:12" s="54" customFormat="1" x14ac:dyDescent="0.2">
      <c r="A21" s="16"/>
      <c r="B21" s="16"/>
      <c r="C21" s="16"/>
      <c r="D21" s="16"/>
      <c r="E21" s="16"/>
      <c r="F21" s="16"/>
      <c r="G21" s="16"/>
      <c r="H21" s="16"/>
      <c r="I21" s="16"/>
      <c r="J21" s="16"/>
    </row>
    <row r="22" spans="1:12" s="54" customFormat="1" ht="60" x14ac:dyDescent="0.2">
      <c r="A22" s="137" t="s">
        <v>171</v>
      </c>
      <c r="B22" s="149" t="s">
        <v>172</v>
      </c>
      <c r="C22" s="176" t="s">
        <v>250</v>
      </c>
      <c r="D22" s="176" t="s">
        <v>251</v>
      </c>
      <c r="E22" s="176" t="s">
        <v>246</v>
      </c>
      <c r="F22" s="176" t="s">
        <v>373</v>
      </c>
      <c r="G22" s="176" t="s">
        <v>252</v>
      </c>
      <c r="H22" s="176" t="s">
        <v>248</v>
      </c>
      <c r="I22" s="143" t="s">
        <v>388</v>
      </c>
      <c r="J22" s="145" t="s">
        <v>247</v>
      </c>
      <c r="K22" s="137" t="s">
        <v>324</v>
      </c>
      <c r="L22" s="143" t="s">
        <v>388</v>
      </c>
    </row>
    <row r="23" spans="1:12" s="54" customFormat="1" ht="15" x14ac:dyDescent="0.25">
      <c r="A23" s="68" t="s">
        <v>119</v>
      </c>
      <c r="B23" s="106">
        <f>COUNTIF('SERVICE ENTRY'!$AJ$4:$AJ$1200,'Diagnostic Services Report '!A23)+COUNTIF('SERVICE ENTRY'!$AK$4:$AK$1200,'Diagnostic Services Report '!A23)</f>
        <v>0</v>
      </c>
      <c r="C23" s="92">
        <f>COUNTIFS('SERVICE ENTRY'!$AJ$4:$AJ$1200,'Diagnostic Services Report '!A23,'SERVICE ENTRY'!$G$4:$G$1200,"American Indian or Alaska Native")+COUNTIFS('SERVICE ENTRY'!$AK$4:$AK$1200,'Diagnostic Services Report '!A23,'SERVICE ENTRY'!$G$4:$G$1200,"American Indian or  Alaska Native")</f>
        <v>0</v>
      </c>
      <c r="D23" s="42">
        <f>COUNTIFS('SERVICE ENTRY'!$AJ$4:$AJ$1200,'Diagnostic Services Report '!A23,'SERVICE ENTRY'!$G$4:$G$1200,"Asian")+COUNTIFS('SERVICE ENTRY'!$AK$4:$AK$1200,'Diagnostic Services Report '!A23,'SERVICE ENTRY'!$G$4:$G$1200,"Asian")</f>
        <v>0</v>
      </c>
      <c r="E23" s="42">
        <f>COUNTIFS('SERVICE ENTRY'!$AJ$4:$AJ$1200,'Diagnostic Services Report '!A23,'SERVICE ENTRY'!$G$4:$G$1200,"Black/African-American")+COUNTIFS('SERVICE ENTRY'!$AK$4:$AK$1200,'Diagnostic Services Report '!A23,'SERVICE ENTRY'!$G$4:$G$1200,"Black/African-American")</f>
        <v>0</v>
      </c>
      <c r="F23" s="42">
        <f>COUNTIFS('SERVICE ENTRY'!$AJ$4:$AJ$1200,'Diagnostic Services Report '!A23,'SERVICE ENTRY'!$G$4:$G$1200,"Middle Eastern or North African")+COUNTIFS('SERVICE ENTRY'!$AK$4:$AK$1200,'Diagnostic Services Report '!A23,'SERVICE ENTRY'!$G$4:$G$1200,"Middle Eastern or North African")</f>
        <v>0</v>
      </c>
      <c r="G23" s="42">
        <f>COUNTIFS('SERVICE ENTRY'!$AJ$4:$AJ$1200,'Diagnostic Services Report '!A23,'SERVICE ENTRY'!$G$4:$G$1200,"Native Hawaiian or Pacific Islander")+COUNTIFS('SERVICE ENTRY'!$AK$4:$AK$1200,'Diagnostic Services Report '!A23,'SERVICE ENTRY'!$G$4:$G$1200,"Native Hawaiian or Pacific Islander")</f>
        <v>0</v>
      </c>
      <c r="H23" s="42">
        <f>COUNTIFS('SERVICE ENTRY'!$AJ$4:$AJ$1200,'Diagnostic Services Report '!A23,'SERVICE ENTRY'!$G$4:$G$1200,"White")+COUNTIFS('SERVICE ENTRY'!$AK$4:$AK$1200,'Diagnostic Services Report '!A23,'SERVICE ENTRY'!$G$4:$G$1200,"White")</f>
        <v>0</v>
      </c>
      <c r="I23" s="92">
        <f>COUNTIFS('SERVICE ENTRY'!$AJ$4:$AJ$1200,'Diagnostic Services Report '!A23,'SERVICE ENTRY'!$G$4:$G$1200,"Unknown or Other")+COUNTIFS('SERVICE ENTRY'!$AK$4:$AK$1200,'Diagnostic Services Report '!A23,'SERVICE ENTRY'!$G$4:$G$1200,"Unknown or Other")</f>
        <v>0</v>
      </c>
      <c r="J23" s="102">
        <f>COUNTIFS('SERVICE ENTRY'!$AJ$4:$AJ$1200,'Diagnostic Services Report '!A23,'SERVICE ENTRY'!$F$4:$F$1200,"Colombian")+COUNTIFS('SERVICE ENTRY'!$AK$4:$AK$1200,'Diagnostic Services Report '!A23,'SERVICE ENTRY'!$F$4:$F$1200,"Colombian")+COUNTIFS('SERVICE ENTRY'!$AJ$4:$AJ$1200,'Diagnostic Services Report '!A23,'SERVICE ENTRY'!$F$4:$F$1200,"Cuban")+COUNTIFS('SERVICE ENTRY'!$AK$4:$AK$1200,'Diagnostic Services Report '!A23,'SERVICE ENTRY'!$F$4:$F$1200,"Cuban")+COUNTIFS('SERVICE ENTRY'!$AJ$4:$AJ$1200,'Diagnostic Services Report '!A23,'SERVICE ENTRY'!$F$4:$F$1200,"Dominican")+COUNTIFS('SERVICE ENTRY'!$AK$4:$AK$1200,'Diagnostic Services Report '!A23,'SERVICE ENTRY'!$F$4:$F$1200,"Dominican")+COUNTIFS('SERVICE ENTRY'!$AJ$4:$AJ$1200,'Diagnostic Services Report '!A23,'SERVICE ENTRY'!$F$4:$F$1200,"Mexican/Mexican-American/Chicano")+COUNTIFS('SERVICE ENTRY'!$AK$4:$AK$1200,'Diagnostic Services Report '!A23,'SERVICE ENTRY'!$F$4:$F$1200,"Mexican/Mexican-American/Chicano")+COUNTIFS('SERVICE ENTRY'!$AJ$4:$AJ$1200,'Diagnostic Services Report '!A23,'SERVICE ENTRY'!$F$4:$F$1200,"Puerto Rican")+COUNTIFS('SERVICE ENTRY'!$AK$4:$AK$1200,'Diagnostic Services Report '!A23,'SERVICE ENTRY'!$F$4:$F$1200,"Puerto Rican")+COUNTIFS('SERVICE ENTRY'!$AJ$4:$AJ$1200,'Diagnostic Services Report '!A23,'SERVICE ENTRY'!$F$4:$F$1200,"Salvadoran")+COUNTIFS('SERVICE ENTRY'!$AK$4:$AK$1200,'Diagnostic Services Report '!A23,'SERVICE ENTRY'!$F$4:$F$1200,"Salvadoran")+COUNTIFS('SERVICE ENTRY'!$AJ$4:$AJ$1200,'Diagnostic Services Report '!A23,'SERVICE ENTRY'!$F$4:$F$1200,"Other Hispanic/Latino/Spanish origin")+COUNTIFS('SERVICE ENTRY'!$AK$4:$AK$1200,'Diagnostic Services Report '!A23,'SERVICE ENTRY'!$F$4:$F$1200,"Other Hispanic/Latino/Spanish origin")</f>
        <v>0</v>
      </c>
      <c r="K23" s="42">
        <f>COUNTIFS('SERVICE ENTRY'!$AJ$4:$AJ$1200,'Diagnostic Services Report '!A23,'SERVICE ENTRY'!$F$4:$F$1200,"Not of Hispanic/Latino/Spanish origin")+COUNTIFS('SERVICE ENTRY'!$AK$4:$AK$1200,'Diagnostic Services Report '!A23,'SERVICE ENTRY'!$F$4:$F$1200,"Not of Hispanic/Latino/Spanish origin")</f>
        <v>0</v>
      </c>
      <c r="L23" s="210">
        <f>COUNTIFS('SERVICE ENTRY'!$AJ$4:$AJ$1200,'Diagnostic Services Report '!A23,'SERVICE ENTRY'!$F$4:$F$1200,"Unknown or Other")+COUNTIFS('SERVICE ENTRY'!$AK$4:$AK$1200,'Diagnostic Services Report '!A23,'SERVICE ENTRY'!$F$4:$F$1200,"Unknown or Other")</f>
        <v>0</v>
      </c>
    </row>
    <row r="24" spans="1:12" s="54" customFormat="1" ht="15" x14ac:dyDescent="0.25">
      <c r="A24" s="68" t="s">
        <v>140</v>
      </c>
      <c r="B24" s="106">
        <f>COUNTIF('SERVICE ENTRY'!$AJ$4:$AJ$1200,'Diagnostic Services Report '!A24)+COUNTIF('SERVICE ENTRY'!$AK$4:$AK$1200,'Diagnostic Services Report '!A24)</f>
        <v>0</v>
      </c>
      <c r="C24" s="92">
        <f>COUNTIFS('SERVICE ENTRY'!$AJ$4:$AJ$1200,'Diagnostic Services Report '!A24,'SERVICE ENTRY'!$G$4:$G$1200,"American Indian or Alaska Native")+COUNTIFS('SERVICE ENTRY'!$AK$4:$AK$1200,'Diagnostic Services Report '!A24,'SERVICE ENTRY'!$G$4:$G$1200,"American Indian or  Alaska Native")</f>
        <v>0</v>
      </c>
      <c r="D24" s="42">
        <f>COUNTIFS('SERVICE ENTRY'!$AJ$4:$AJ$1200,'Diagnostic Services Report '!A24,'SERVICE ENTRY'!$G$4:$G$1200,"Asian")+COUNTIFS('SERVICE ENTRY'!$AK$4:$AK$1200,'Diagnostic Services Report '!A24,'SERVICE ENTRY'!$G$4:$G$1200,"Asian")</f>
        <v>0</v>
      </c>
      <c r="E24" s="42">
        <f>COUNTIFS('SERVICE ENTRY'!$AJ$4:$AJ$1200,'Diagnostic Services Report '!A24,'SERVICE ENTRY'!$G$4:$G$1200,"Black/African-American")+COUNTIFS('SERVICE ENTRY'!$AK$4:$AK$1200,'Diagnostic Services Report '!A24,'SERVICE ENTRY'!$G$4:$G$1200,"Black/African-American")</f>
        <v>0</v>
      </c>
      <c r="F24" s="42">
        <f>COUNTIFS('SERVICE ENTRY'!$AJ$4:$AJ$1200,'Diagnostic Services Report '!A24,'SERVICE ENTRY'!$G$4:$G$1200,"Middle Eastern or North African")+COUNTIFS('SERVICE ENTRY'!$AK$4:$AK$1200,'Diagnostic Services Report '!A24,'SERVICE ENTRY'!$G$4:$G$1200,"Middle Eastern or North African")</f>
        <v>0</v>
      </c>
      <c r="G24" s="42">
        <f>COUNTIFS('SERVICE ENTRY'!$AJ$4:$AJ$1200,'Diagnostic Services Report '!A24,'SERVICE ENTRY'!$G$4:$G$1200,"Native Hawaiian or Pacific Islander")+COUNTIFS('SERVICE ENTRY'!$AK$4:$AK$1200,'Diagnostic Services Report '!A24,'SERVICE ENTRY'!$G$4:$G$1200,"Native Hawaiian or Pacific Islander")</f>
        <v>0</v>
      </c>
      <c r="H24" s="42">
        <f>COUNTIFS('SERVICE ENTRY'!$AJ$4:$AJ$1200,'Diagnostic Services Report '!A24,'SERVICE ENTRY'!$G$4:$G$1200,"White")+COUNTIFS('SERVICE ENTRY'!$AK$4:$AK$1200,'Diagnostic Services Report '!A24,'SERVICE ENTRY'!$G$4:$G$1200,"White")</f>
        <v>0</v>
      </c>
      <c r="I24" s="92">
        <f>COUNTIFS('SERVICE ENTRY'!$AJ$4:$AJ$1200,'Diagnostic Services Report '!A24,'SERVICE ENTRY'!$G$4:$G$1200,"Unknown or Other")+COUNTIFS('SERVICE ENTRY'!$AK$4:$AK$1200,'Diagnostic Services Report '!A24,'SERVICE ENTRY'!$G$4:$G$1200,"Unknown or Other")</f>
        <v>0</v>
      </c>
      <c r="J24" s="102">
        <f>COUNTIFS('SERVICE ENTRY'!$AJ$4:$AJ$1200,'Diagnostic Services Report '!A24,'SERVICE ENTRY'!$F$4:$F$1200,"Colombian")+COUNTIFS('SERVICE ENTRY'!$AK$4:$AK$1200,'Diagnostic Services Report '!A24,'SERVICE ENTRY'!$F$4:$F$1200,"Colombian")+COUNTIFS('SERVICE ENTRY'!$AJ$4:$AJ$1200,'Diagnostic Services Report '!A24,'SERVICE ENTRY'!$F$4:$F$1200,"Cuban")+COUNTIFS('SERVICE ENTRY'!$AK$4:$AK$1200,'Diagnostic Services Report '!A24,'SERVICE ENTRY'!$F$4:$F$1200,"Cuban")+COUNTIFS('SERVICE ENTRY'!$AJ$4:$AJ$1200,'Diagnostic Services Report '!A24,'SERVICE ENTRY'!$F$4:$F$1200,"Dominican")+COUNTIFS('SERVICE ENTRY'!$AK$4:$AK$1200,'Diagnostic Services Report '!A24,'SERVICE ENTRY'!$F$4:$F$1200,"Dominican")+COUNTIFS('SERVICE ENTRY'!$AJ$4:$AJ$1200,'Diagnostic Services Report '!A24,'SERVICE ENTRY'!$F$4:$F$1200,"Mexican/Mexican-American/Chicano")+COUNTIFS('SERVICE ENTRY'!$AK$4:$AK$1200,'Diagnostic Services Report '!A24,'SERVICE ENTRY'!$F$4:$F$1200,"Mexican/Mexican-American/Chicano")+COUNTIFS('SERVICE ENTRY'!$AJ$4:$AJ$1200,'Diagnostic Services Report '!A24,'SERVICE ENTRY'!$F$4:$F$1200,"Puerto Rican")+COUNTIFS('SERVICE ENTRY'!$AK$4:$AK$1200,'Diagnostic Services Report '!A24,'SERVICE ENTRY'!$F$4:$F$1200,"Puerto Rican")+COUNTIFS('SERVICE ENTRY'!$AJ$4:$AJ$1200,'Diagnostic Services Report '!A24,'SERVICE ENTRY'!$F$4:$F$1200,"Salvadoran")+COUNTIFS('SERVICE ENTRY'!$AK$4:$AK$1200,'Diagnostic Services Report '!A24,'SERVICE ENTRY'!$F$4:$F$1200,"Salvadoran")+COUNTIFS('SERVICE ENTRY'!$AJ$4:$AJ$1200,'Diagnostic Services Report '!A24,'SERVICE ENTRY'!$F$4:$F$1200,"Other Hispanic/Latino/Spanish origin")+COUNTIFS('SERVICE ENTRY'!$AK$4:$AK$1200,'Diagnostic Services Report '!A24,'SERVICE ENTRY'!$F$4:$F$1200,"Other Hispanic/Latino/Spanish origin")</f>
        <v>0</v>
      </c>
      <c r="K24" s="42">
        <f>COUNTIFS('SERVICE ENTRY'!$AJ$4:$AJ$1200,'Diagnostic Services Report '!A24,'SERVICE ENTRY'!$F$4:$F$1200,"Not of Hispanic/Latino/Spanish origin")+COUNTIFS('SERVICE ENTRY'!$AK$4:$AK$1200,'Diagnostic Services Report '!A24,'SERVICE ENTRY'!$F$4:$F$1200,"Not of Hispanic/Latino/Spanish origin")</f>
        <v>0</v>
      </c>
      <c r="L24" s="210">
        <f>COUNTIFS('SERVICE ENTRY'!$AJ$4:$AJ$1200,'Diagnostic Services Report '!A24,'SERVICE ENTRY'!$F$4:$F$1200,"Unknown or Other")+COUNTIFS('SERVICE ENTRY'!$AK$4:$AK$1200,'Diagnostic Services Report '!A24,'SERVICE ENTRY'!$F$4:$F$1200,"Unknown or Other")</f>
        <v>0</v>
      </c>
    </row>
    <row r="25" spans="1:12" ht="15" x14ac:dyDescent="0.25">
      <c r="A25" s="68" t="s">
        <v>141</v>
      </c>
      <c r="B25" s="106">
        <f>COUNTIF('SERVICE ENTRY'!$AJ$4:$AJ$1200,'Diagnostic Services Report '!A25)+COUNTIF('SERVICE ENTRY'!$AK$4:$AK$1200,'Diagnostic Services Report '!A25)</f>
        <v>0</v>
      </c>
      <c r="C25" s="92">
        <f>COUNTIFS('SERVICE ENTRY'!$AJ$4:$AJ$1200,'Diagnostic Services Report '!A25,'SERVICE ENTRY'!$G$4:$G$1200,"American Indian or Alaska Native")+COUNTIFS('SERVICE ENTRY'!$AK$4:$AK$1200,'Diagnostic Services Report '!A25,'SERVICE ENTRY'!$G$4:$G$1200,"American Indian or  Alaska Native")</f>
        <v>0</v>
      </c>
      <c r="D25" s="42">
        <f>COUNTIFS('SERVICE ENTRY'!$AJ$4:$AJ$1200,'Diagnostic Services Report '!A25,'SERVICE ENTRY'!$G$4:$G$1200,"Asian")+COUNTIFS('SERVICE ENTRY'!$AK$4:$AK$1200,'Diagnostic Services Report '!A25,'SERVICE ENTRY'!$G$4:$G$1200,"Asian")</f>
        <v>0</v>
      </c>
      <c r="E25" s="42">
        <f>COUNTIFS('SERVICE ENTRY'!$AJ$4:$AJ$1200,'Diagnostic Services Report '!A25,'SERVICE ENTRY'!$G$4:$G$1200,"Black/African-American")+COUNTIFS('SERVICE ENTRY'!$AK$4:$AK$1200,'Diagnostic Services Report '!A25,'SERVICE ENTRY'!$G$4:$G$1200,"Black/African-American")</f>
        <v>0</v>
      </c>
      <c r="F25" s="42">
        <f>COUNTIFS('SERVICE ENTRY'!$AJ$4:$AJ$1200,'Diagnostic Services Report '!A25,'SERVICE ENTRY'!$G$4:$G$1200,"Middle Eastern or North African")+COUNTIFS('SERVICE ENTRY'!$AK$4:$AK$1200,'Diagnostic Services Report '!A25,'SERVICE ENTRY'!$G$4:$G$1200,"Middle Eastern or North African")</f>
        <v>0</v>
      </c>
      <c r="G25" s="42">
        <f>COUNTIFS('SERVICE ENTRY'!$AJ$4:$AJ$1200,'Diagnostic Services Report '!A25,'SERVICE ENTRY'!$G$4:$G$1200,"Native Hawaiian or Pacific Islander")+COUNTIFS('SERVICE ENTRY'!$AK$4:$AK$1200,'Diagnostic Services Report '!A25,'SERVICE ENTRY'!$G$4:$G$1200,"Native Hawaiian or Pacific Islander")</f>
        <v>0</v>
      </c>
      <c r="H25" s="42">
        <f>COUNTIFS('SERVICE ENTRY'!$AJ$4:$AJ$1200,'Diagnostic Services Report '!A25,'SERVICE ENTRY'!$G$4:$G$1200,"White")+COUNTIFS('SERVICE ENTRY'!$AK$4:$AK$1200,'Diagnostic Services Report '!A25,'SERVICE ENTRY'!$G$4:$G$1200,"White")</f>
        <v>0</v>
      </c>
      <c r="I25" s="92">
        <f>COUNTIFS('SERVICE ENTRY'!$AJ$4:$AJ$1200,'Diagnostic Services Report '!A25,'SERVICE ENTRY'!$G$4:$G$1200,"Unknown or Other")+COUNTIFS('SERVICE ENTRY'!$AK$4:$AK$1200,'Diagnostic Services Report '!A25,'SERVICE ENTRY'!$G$4:$G$1200,"Unknown or Other")</f>
        <v>0</v>
      </c>
      <c r="J25" s="102">
        <f>COUNTIFS('SERVICE ENTRY'!$AJ$4:$AJ$1200,'Diagnostic Services Report '!A25,'SERVICE ENTRY'!$F$4:$F$1200,"Colombian")+COUNTIFS('SERVICE ENTRY'!$AK$4:$AK$1200,'Diagnostic Services Report '!A25,'SERVICE ENTRY'!$F$4:$F$1200,"Colombian")+COUNTIFS('SERVICE ENTRY'!$AJ$4:$AJ$1200,'Diagnostic Services Report '!A25,'SERVICE ENTRY'!$F$4:$F$1200,"Cuban")+COUNTIFS('SERVICE ENTRY'!$AK$4:$AK$1200,'Diagnostic Services Report '!A25,'SERVICE ENTRY'!$F$4:$F$1200,"Cuban")+COUNTIFS('SERVICE ENTRY'!$AJ$4:$AJ$1200,'Diagnostic Services Report '!A25,'SERVICE ENTRY'!$F$4:$F$1200,"Dominican")+COUNTIFS('SERVICE ENTRY'!$AK$4:$AK$1200,'Diagnostic Services Report '!A25,'SERVICE ENTRY'!$F$4:$F$1200,"Dominican")+COUNTIFS('SERVICE ENTRY'!$AJ$4:$AJ$1200,'Diagnostic Services Report '!A25,'SERVICE ENTRY'!$F$4:$F$1200,"Mexican/Mexican-American/Chicano")+COUNTIFS('SERVICE ENTRY'!$AK$4:$AK$1200,'Diagnostic Services Report '!A25,'SERVICE ENTRY'!$F$4:$F$1200,"Mexican/Mexican-American/Chicano")+COUNTIFS('SERVICE ENTRY'!$AJ$4:$AJ$1200,'Diagnostic Services Report '!A25,'SERVICE ENTRY'!$F$4:$F$1200,"Puerto Rican")+COUNTIFS('SERVICE ENTRY'!$AK$4:$AK$1200,'Diagnostic Services Report '!A25,'SERVICE ENTRY'!$F$4:$F$1200,"Puerto Rican")+COUNTIFS('SERVICE ENTRY'!$AJ$4:$AJ$1200,'Diagnostic Services Report '!A25,'SERVICE ENTRY'!$F$4:$F$1200,"Salvadoran")+COUNTIFS('SERVICE ENTRY'!$AK$4:$AK$1200,'Diagnostic Services Report '!A25,'SERVICE ENTRY'!$F$4:$F$1200,"Salvadoran")+COUNTIFS('SERVICE ENTRY'!$AJ$4:$AJ$1200,'Diagnostic Services Report '!A25,'SERVICE ENTRY'!$F$4:$F$1200,"Other Hispanic/Latino/Spanish origin")+COUNTIFS('SERVICE ENTRY'!$AK$4:$AK$1200,'Diagnostic Services Report '!A25,'SERVICE ENTRY'!$F$4:$F$1200,"Other Hispanic/Latino/Spanish origin")</f>
        <v>0</v>
      </c>
      <c r="K25" s="42">
        <f>COUNTIFS('SERVICE ENTRY'!$AJ$4:$AJ$1200,'Diagnostic Services Report '!A25,'SERVICE ENTRY'!$F$4:$F$1200,"Not of Hispanic/Latino/Spanish origin")+COUNTIFS('SERVICE ENTRY'!$AK$4:$AK$1200,'Diagnostic Services Report '!A25,'SERVICE ENTRY'!$F$4:$F$1200,"Not of Hispanic/Latino/Spanish origin")</f>
        <v>0</v>
      </c>
      <c r="L25" s="210">
        <f>COUNTIFS('SERVICE ENTRY'!$AJ$4:$AJ$1200,'Diagnostic Services Report '!A25,'SERVICE ENTRY'!$F$4:$F$1200,"Unknown or Other")+COUNTIFS('SERVICE ENTRY'!$AK$4:$AK$1200,'Diagnostic Services Report '!A25,'SERVICE ENTRY'!$F$4:$F$1200,"Unknown or Other")</f>
        <v>0</v>
      </c>
    </row>
    <row r="26" spans="1:12" ht="15" x14ac:dyDescent="0.25">
      <c r="A26" s="68" t="s">
        <v>142</v>
      </c>
      <c r="B26" s="106">
        <f>COUNTIF('SERVICE ENTRY'!$AJ$4:$AJ$1200,'Diagnostic Services Report '!A26)+COUNTIF('SERVICE ENTRY'!$AK$4:$AK$1200,'Diagnostic Services Report '!A26)</f>
        <v>0</v>
      </c>
      <c r="C26" s="92">
        <f>COUNTIFS('SERVICE ENTRY'!$AJ$4:$AJ$1200,'Diagnostic Services Report '!A26,'SERVICE ENTRY'!$G$4:$G$1200,"American Indian or Alaska Native")+COUNTIFS('SERVICE ENTRY'!$AK$4:$AK$1200,'Diagnostic Services Report '!A26,'SERVICE ENTRY'!$G$4:$G$1200,"American Indian or  Alaska Native")</f>
        <v>0</v>
      </c>
      <c r="D26" s="42">
        <f>COUNTIFS('SERVICE ENTRY'!$AJ$4:$AJ$1200,'Diagnostic Services Report '!A26,'SERVICE ENTRY'!$G$4:$G$1200,"Asian")+COUNTIFS('SERVICE ENTRY'!$AK$4:$AK$1200,'Diagnostic Services Report '!A26,'SERVICE ENTRY'!$G$4:$G$1200,"Asian")</f>
        <v>0</v>
      </c>
      <c r="E26" s="42">
        <f>COUNTIFS('SERVICE ENTRY'!$AJ$4:$AJ$1200,'Diagnostic Services Report '!A26,'SERVICE ENTRY'!$G$4:$G$1200,"Black/African-American")+COUNTIFS('SERVICE ENTRY'!$AK$4:$AK$1200,'Diagnostic Services Report '!A26,'SERVICE ENTRY'!$G$4:$G$1200,"Black/African-American")</f>
        <v>0</v>
      </c>
      <c r="F26" s="42">
        <f>COUNTIFS('SERVICE ENTRY'!$AJ$4:$AJ$1200,'Diagnostic Services Report '!A26,'SERVICE ENTRY'!$G$4:$G$1200,"Middle Eastern or North African")+COUNTIFS('SERVICE ENTRY'!$AK$4:$AK$1200,'Diagnostic Services Report '!A26,'SERVICE ENTRY'!$G$4:$G$1200,"Middle Eastern or North African")</f>
        <v>0</v>
      </c>
      <c r="G26" s="42">
        <f>COUNTIFS('SERVICE ENTRY'!$AJ$4:$AJ$1200,'Diagnostic Services Report '!A26,'SERVICE ENTRY'!$G$4:$G$1200,"Native Hawaiian or Pacific Islander")+COUNTIFS('SERVICE ENTRY'!$AK$4:$AK$1200,'Diagnostic Services Report '!A26,'SERVICE ENTRY'!$G$4:$G$1200,"Native Hawaiian or Pacific Islander")</f>
        <v>0</v>
      </c>
      <c r="H26" s="42">
        <f>COUNTIFS('SERVICE ENTRY'!$AJ$4:$AJ$1200,'Diagnostic Services Report '!A26,'SERVICE ENTRY'!$G$4:$G$1200,"White")+COUNTIFS('SERVICE ENTRY'!$AK$4:$AK$1200,'Diagnostic Services Report '!A26,'SERVICE ENTRY'!$G$4:$G$1200,"White")</f>
        <v>0</v>
      </c>
      <c r="I26" s="92">
        <f>COUNTIFS('SERVICE ENTRY'!$AJ$4:$AJ$1200,'Diagnostic Services Report '!A26,'SERVICE ENTRY'!$G$4:$G$1200,"Unknown or Other")+COUNTIFS('SERVICE ENTRY'!$AK$4:$AK$1200,'Diagnostic Services Report '!A26,'SERVICE ENTRY'!$G$4:$G$1200,"Unknown or Other")</f>
        <v>0</v>
      </c>
      <c r="J26" s="102">
        <f>COUNTIFS('SERVICE ENTRY'!$AJ$4:$AJ$1200,'Diagnostic Services Report '!A26,'SERVICE ENTRY'!$F$4:$F$1200,"Colombian")+COUNTIFS('SERVICE ENTRY'!$AK$4:$AK$1200,'Diagnostic Services Report '!A26,'SERVICE ENTRY'!$F$4:$F$1200,"Colombian")+COUNTIFS('SERVICE ENTRY'!$AJ$4:$AJ$1200,'Diagnostic Services Report '!A26,'SERVICE ENTRY'!$F$4:$F$1200,"Cuban")+COUNTIFS('SERVICE ENTRY'!$AK$4:$AK$1200,'Diagnostic Services Report '!A26,'SERVICE ENTRY'!$F$4:$F$1200,"Cuban")+COUNTIFS('SERVICE ENTRY'!$AJ$4:$AJ$1200,'Diagnostic Services Report '!A26,'SERVICE ENTRY'!$F$4:$F$1200,"Dominican")+COUNTIFS('SERVICE ENTRY'!$AK$4:$AK$1200,'Diagnostic Services Report '!A26,'SERVICE ENTRY'!$F$4:$F$1200,"Dominican")+COUNTIFS('SERVICE ENTRY'!$AJ$4:$AJ$1200,'Diagnostic Services Report '!A26,'SERVICE ENTRY'!$F$4:$F$1200,"Mexican/Mexican-American/Chicano")+COUNTIFS('SERVICE ENTRY'!$AK$4:$AK$1200,'Diagnostic Services Report '!A26,'SERVICE ENTRY'!$F$4:$F$1200,"Mexican/Mexican-American/Chicano")+COUNTIFS('SERVICE ENTRY'!$AJ$4:$AJ$1200,'Diagnostic Services Report '!A26,'SERVICE ENTRY'!$F$4:$F$1200,"Puerto Rican")+COUNTIFS('SERVICE ENTRY'!$AK$4:$AK$1200,'Diagnostic Services Report '!A26,'SERVICE ENTRY'!$F$4:$F$1200,"Puerto Rican")+COUNTIFS('SERVICE ENTRY'!$AJ$4:$AJ$1200,'Diagnostic Services Report '!A26,'SERVICE ENTRY'!$F$4:$F$1200,"Salvadoran")+COUNTIFS('SERVICE ENTRY'!$AK$4:$AK$1200,'Diagnostic Services Report '!A26,'SERVICE ENTRY'!$F$4:$F$1200,"Salvadoran")+COUNTIFS('SERVICE ENTRY'!$AJ$4:$AJ$1200,'Diagnostic Services Report '!A26,'SERVICE ENTRY'!$F$4:$F$1200,"Other Hispanic/Latino/Spanish origin")+COUNTIFS('SERVICE ENTRY'!$AK$4:$AK$1200,'Diagnostic Services Report '!A26,'SERVICE ENTRY'!$F$4:$F$1200,"Other Hispanic/Latino/Spanish origin")</f>
        <v>0</v>
      </c>
      <c r="K26" s="42">
        <f>COUNTIFS('SERVICE ENTRY'!$AJ$4:$AJ$1200,'Diagnostic Services Report '!A26,'SERVICE ENTRY'!$F$4:$F$1200,"Not of Hispanic/Latino/Spanish origin")+COUNTIFS('SERVICE ENTRY'!$AK$4:$AK$1200,'Diagnostic Services Report '!A26,'SERVICE ENTRY'!$F$4:$F$1200,"Not of Hispanic/Latino/Spanish origin")</f>
        <v>0</v>
      </c>
      <c r="L26" s="210">
        <f>COUNTIFS('SERVICE ENTRY'!$AJ$4:$AJ$1200,'Diagnostic Services Report '!A26,'SERVICE ENTRY'!$F$4:$F$1200,"Unknown or Other")+COUNTIFS('SERVICE ENTRY'!$AK$4:$AK$1200,'Diagnostic Services Report '!A26,'SERVICE ENTRY'!$F$4:$F$1200,"Unknown or Other")</f>
        <v>0</v>
      </c>
    </row>
    <row r="27" spans="1:12" ht="16.5" customHeight="1" thickBot="1" x14ac:dyDescent="0.3">
      <c r="A27" s="113" t="s">
        <v>143</v>
      </c>
      <c r="B27" s="106">
        <f>COUNTIF('SERVICE ENTRY'!$AJ$4:$AJ$1200,'Diagnostic Services Report '!A27)+COUNTIF('SERVICE ENTRY'!$AK$4:$AK$1200,'Diagnostic Services Report '!A27)</f>
        <v>0</v>
      </c>
      <c r="C27" s="115">
        <f>COUNTIFS('SERVICE ENTRY'!$AJ$4:$AJ$1200,'Diagnostic Services Report '!A27,'SERVICE ENTRY'!$G$4:$G$1200,"American Indian or Alaska Native")+COUNTIFS('SERVICE ENTRY'!$AK$4:$AK$1200,'Diagnostic Services Report '!A27,'SERVICE ENTRY'!$G$4:$G$1200,"American Indian or  Alaska Native")</f>
        <v>0</v>
      </c>
      <c r="D27" s="99">
        <f>COUNTIFS('SERVICE ENTRY'!$AJ$4:$AJ$1200,'Diagnostic Services Report '!A27,'SERVICE ENTRY'!$G$4:$G$1200,"Asian")+COUNTIFS('SERVICE ENTRY'!$AK$4:$AK$1200,'Diagnostic Services Report '!A27,'SERVICE ENTRY'!$G$4:$G$1200,"Asian")</f>
        <v>0</v>
      </c>
      <c r="E27" s="99">
        <f>COUNTIFS('SERVICE ENTRY'!$AJ$4:$AJ$1200,'Diagnostic Services Report '!A27,'SERVICE ENTRY'!$G$4:$G$1200,"Black/African-American")+COUNTIFS('SERVICE ENTRY'!$AK$4:$AK$1200,'Diagnostic Services Report '!A27,'SERVICE ENTRY'!$G$4:$G$1200,"Black/African-American")</f>
        <v>0</v>
      </c>
      <c r="F27" s="99">
        <f>COUNTIFS('SERVICE ENTRY'!$AJ$4:$AJ$1200,'Diagnostic Services Report '!A27,'SERVICE ENTRY'!$G$4:$G$1200,"Middle Eastern or North African")+COUNTIFS('SERVICE ENTRY'!$AK$4:$AK$1200,'Diagnostic Services Report '!A27,'SERVICE ENTRY'!$G$4:$G$1200,"Middle Eastern or North African")</f>
        <v>0</v>
      </c>
      <c r="G27" s="99">
        <f>COUNTIFS('SERVICE ENTRY'!$AJ$4:$AJ$1200,'Diagnostic Services Report '!A27,'SERVICE ENTRY'!$G$4:$G$1200,"Native Hawaiian or Pacific Islander")+COUNTIFS('SERVICE ENTRY'!$AK$4:$AK$1200,'Diagnostic Services Report '!A27,'SERVICE ENTRY'!$G$4:$G$1200,"Native Hawaiian or Pacific Islander")</f>
        <v>0</v>
      </c>
      <c r="H27" s="99">
        <f>COUNTIFS('SERVICE ENTRY'!$AJ$4:$AJ$1200,'Diagnostic Services Report '!A27,'SERVICE ENTRY'!$G$4:$G$1200,"White")+COUNTIFS('SERVICE ENTRY'!$AK$4:$AK$1200,'Diagnostic Services Report '!A27,'SERVICE ENTRY'!$G$4:$G$1200,"White")</f>
        <v>0</v>
      </c>
      <c r="I27" s="115">
        <f>COUNTIFS('SERVICE ENTRY'!$AJ$4:$AJ$1200,'Diagnostic Services Report '!A27,'SERVICE ENTRY'!$G$4:$G$1200,"Unknown or Other")+COUNTIFS('SERVICE ENTRY'!$AK$4:$AK$1200,'Diagnostic Services Report '!A27,'SERVICE ENTRY'!$G$4:$G$1200,"Unknown or Other")</f>
        <v>0</v>
      </c>
      <c r="J27" s="120">
        <f>COUNTIFS('SERVICE ENTRY'!$AJ$4:$AJ$1200,'Diagnostic Services Report '!A27,'SERVICE ENTRY'!$F$4:$F$1200,"Colombian")+COUNTIFS('SERVICE ENTRY'!$AK$4:$AK$1200,'Diagnostic Services Report '!A27,'SERVICE ENTRY'!$F$4:$F$1200,"Colombian")+COUNTIFS('SERVICE ENTRY'!$AJ$4:$AJ$1200,'Diagnostic Services Report '!A27,'SERVICE ENTRY'!$F$4:$F$1200,"Cuban")+COUNTIFS('SERVICE ENTRY'!$AK$4:$AK$1200,'Diagnostic Services Report '!A27,'SERVICE ENTRY'!$F$4:$F$1200,"Cuban")+COUNTIFS('SERVICE ENTRY'!$AJ$4:$AJ$1200,'Diagnostic Services Report '!A27,'SERVICE ENTRY'!$F$4:$F$1200,"Dominican")+COUNTIFS('SERVICE ENTRY'!$AK$4:$AK$1200,'Diagnostic Services Report '!A27,'SERVICE ENTRY'!$F$4:$F$1200,"Dominican")+COUNTIFS('SERVICE ENTRY'!$AJ$4:$AJ$1200,'Diagnostic Services Report '!A27,'SERVICE ENTRY'!$F$4:$F$1200,"Mexican/Mexican-American/Chicano")+COUNTIFS('SERVICE ENTRY'!$AK$4:$AK$1200,'Diagnostic Services Report '!A27,'SERVICE ENTRY'!$F$4:$F$1200,"Mexican/Mexican-American/Chicano")+COUNTIFS('SERVICE ENTRY'!$AJ$4:$AJ$1200,'Diagnostic Services Report '!A27,'SERVICE ENTRY'!$F$4:$F$1200,"Puerto Rican")+COUNTIFS('SERVICE ENTRY'!$AK$4:$AK$1200,'Diagnostic Services Report '!A27,'SERVICE ENTRY'!$F$4:$F$1200,"Puerto Rican")+COUNTIFS('SERVICE ENTRY'!$AJ$4:$AJ$1200,'Diagnostic Services Report '!A27,'SERVICE ENTRY'!$F$4:$F$1200,"Salvadoran")+COUNTIFS('SERVICE ENTRY'!$AK$4:$AK$1200,'Diagnostic Services Report '!A27,'SERVICE ENTRY'!$F$4:$F$1200,"Salvadoran")+COUNTIFS('SERVICE ENTRY'!$AJ$4:$AJ$1200,'Diagnostic Services Report '!A27,'SERVICE ENTRY'!$F$4:$F$1200,"Other Hispanic/Latino/Spanish origin")+COUNTIFS('SERVICE ENTRY'!$AK$4:$AK$1200,'Diagnostic Services Report '!A27,'SERVICE ENTRY'!$F$4:$F$1200,"Other Hispanic/Latino/Spanish origin")</f>
        <v>0</v>
      </c>
      <c r="K27" s="99">
        <f>COUNTIFS('SERVICE ENTRY'!$AJ$4:$AJ$1200,'Diagnostic Services Report '!A27,'SERVICE ENTRY'!$F$4:$F$1200,"Not of Hispanic/Latino/Spanish origin")+COUNTIFS('SERVICE ENTRY'!$AK$4:$AK$1200,'Diagnostic Services Report '!A27,'SERVICE ENTRY'!$F$4:$F$1200,"Not of Hispanic/Latino/Spanish origin")</f>
        <v>0</v>
      </c>
      <c r="L27" s="234">
        <f>COUNTIFS('SERVICE ENTRY'!$AJ$4:$AJ$1200,'Diagnostic Services Report '!A27,'SERVICE ENTRY'!$F$4:$F$1200,"Unknown or Other")+COUNTIFS('SERVICE ENTRY'!$AK$4:$AK$1200,'Diagnostic Services Report '!A27,'SERVICE ENTRY'!$F$4:$F$1200,"Unknown or Other")</f>
        <v>0</v>
      </c>
    </row>
    <row r="28" spans="1:12" ht="15.75" thickBot="1" x14ac:dyDescent="0.3">
      <c r="A28" s="365" t="s">
        <v>267</v>
      </c>
      <c r="B28" s="367">
        <f>SUM(B22:B27)</f>
        <v>0</v>
      </c>
      <c r="C28" s="198">
        <f>SUM(C23:C27)</f>
        <v>0</v>
      </c>
      <c r="D28" s="215">
        <f t="shared" ref="D28:L28" si="1">SUM(D23:D27)</f>
        <v>0</v>
      </c>
      <c r="E28" s="215">
        <f t="shared" si="1"/>
        <v>0</v>
      </c>
      <c r="F28" s="215">
        <f t="shared" si="1"/>
        <v>0</v>
      </c>
      <c r="G28" s="215">
        <f t="shared" si="1"/>
        <v>0</v>
      </c>
      <c r="H28" s="215">
        <f t="shared" si="1"/>
        <v>0</v>
      </c>
      <c r="I28" s="217">
        <f t="shared" si="1"/>
        <v>0</v>
      </c>
      <c r="J28" s="198">
        <f t="shared" si="1"/>
        <v>0</v>
      </c>
      <c r="K28" s="215">
        <f t="shared" si="1"/>
        <v>0</v>
      </c>
      <c r="L28" s="216">
        <f t="shared" si="1"/>
        <v>0</v>
      </c>
    </row>
    <row r="29" spans="1:12" ht="30" customHeight="1" thickBot="1" x14ac:dyDescent="0.3">
      <c r="A29" s="366"/>
      <c r="B29" s="368"/>
      <c r="C29" s="372">
        <f>SUM(C28:I28)</f>
        <v>0</v>
      </c>
      <c r="D29" s="373"/>
      <c r="E29" s="373"/>
      <c r="F29" s="373"/>
      <c r="G29" s="373"/>
      <c r="H29" s="373"/>
      <c r="I29" s="373"/>
      <c r="J29" s="372">
        <f>SUM(J28:L28)</f>
        <v>0</v>
      </c>
      <c r="K29" s="373"/>
      <c r="L29" s="374"/>
    </row>
    <row r="32" spans="1:12" ht="60" x14ac:dyDescent="0.2">
      <c r="A32" s="139" t="s">
        <v>68</v>
      </c>
      <c r="B32" s="148" t="s">
        <v>178</v>
      </c>
      <c r="C32" s="176" t="s">
        <v>250</v>
      </c>
      <c r="D32" s="176" t="s">
        <v>251</v>
      </c>
      <c r="E32" s="176" t="s">
        <v>246</v>
      </c>
      <c r="F32" s="176" t="s">
        <v>373</v>
      </c>
      <c r="G32" s="176" t="s">
        <v>252</v>
      </c>
      <c r="H32" s="176" t="s">
        <v>248</v>
      </c>
      <c r="I32" s="143" t="s">
        <v>388</v>
      </c>
      <c r="J32" s="145" t="s">
        <v>247</v>
      </c>
      <c r="K32" s="137" t="s">
        <v>324</v>
      </c>
      <c r="L32" s="143" t="s">
        <v>388</v>
      </c>
    </row>
    <row r="33" spans="1:12" ht="15" x14ac:dyDescent="0.25">
      <c r="A33" s="68" t="s">
        <v>62</v>
      </c>
      <c r="B33" s="106">
        <f>COUNTIF('SERVICE ENTRY'!$AM$4:$AM$1200,'Diagnostic Services Report '!A33)</f>
        <v>0</v>
      </c>
      <c r="C33" s="92">
        <f>COUNTIFS('SERVICE ENTRY'!$AM$4:$AM$1200,'Diagnostic Services Report '!A33,'SERVICE ENTRY'!$G$4:$G$1200,"American Indian or Alaska Native")</f>
        <v>0</v>
      </c>
      <c r="D33" s="42">
        <f>COUNTIFS('SERVICE ENTRY'!$AM$4:$AM$1200,'Diagnostic Services Report '!A33,'SERVICE ENTRY'!$G$4:$G$1200,"Asian")</f>
        <v>0</v>
      </c>
      <c r="E33" s="42">
        <f>COUNTIFS('SERVICE ENTRY'!$AM$4:$AM$1200,'Diagnostic Services Report '!A33,'SERVICE ENTRY'!$G$4:$G$1200,"Black/African-American")</f>
        <v>0</v>
      </c>
      <c r="F33" s="42">
        <f>COUNTIFS('SERVICE ENTRY'!$AM$4:$AM$1200,'Diagnostic Services Report '!A33,'SERVICE ENTRY'!$G$4:$G$1200,"Middle Eastern or North African")</f>
        <v>0</v>
      </c>
      <c r="G33" s="42">
        <f>COUNTIFS('SERVICE ENTRY'!$AM$4:$AM$1200,'Diagnostic Services Report '!A33,'SERVICE ENTRY'!$G$4:$G$1200,"Native Hawaiian or Pacific Islander")</f>
        <v>0</v>
      </c>
      <c r="H33" s="42">
        <f>COUNTIFS('SERVICE ENTRY'!$AM$4:$AM$1200,'Diagnostic Services Report '!A33,'SERVICE ENTRY'!$G$4:$G$1200,"White")</f>
        <v>0</v>
      </c>
      <c r="I33" s="92">
        <f>COUNTIFS('SERVICE ENTRY'!$AM$4:$AM$1200,'Diagnostic Services Report '!A33,'SERVICE ENTRY'!$G$4:$G$1200,"Unknown or Other")</f>
        <v>0</v>
      </c>
      <c r="J33" s="102">
        <f>COUNTIFS('SERVICE ENTRY'!$AM$4:$AM$1200,'Diagnostic Services Report '!A33,'SERVICE ENTRY'!$F$4:$F$1200,"Colombian")+COUNTIFS('SERVICE ENTRY'!$AM$4:$AM$1200,'Diagnostic Services Report '!A33,'SERVICE ENTRY'!$F$4:$F$1200,"Cuban")+COUNTIFS('SERVICE ENTRY'!$AM$4:$AM$1200,'Diagnostic Services Report '!A33,'SERVICE ENTRY'!$F$4:$F$1200,"Dominican")+COUNTIFS('SERVICE ENTRY'!$AM$4:$AM$1200,'Diagnostic Services Report '!A33,'SERVICE ENTRY'!$F$4:$F$1200,"Mexican/Mexican-American/Chicano")+COUNTIFS('SERVICE ENTRY'!$AM$4:$AM$1200,'Diagnostic Services Report '!A33,'SERVICE ENTRY'!$F$4:$F$1200,"Puerto Rican")+COUNTIFS('SERVICE ENTRY'!$AM$4:$AM$1200,'Diagnostic Services Report '!A33,'SERVICE ENTRY'!$F$4:$F$1200,"Salvadoran")+COUNTIFS('SERVICE ENTRY'!$AM$4:$AM$1200,'Diagnostic Services Report '!A33,'SERVICE ENTRY'!$F$4:$F$1200,"Other Hispanic/Latino/Spanish origin")</f>
        <v>0</v>
      </c>
      <c r="K33" s="42">
        <f>COUNTIFS('SERVICE ENTRY'!$AM$4:$AM$1200,'Diagnostic Services Report '!A33,'SERVICE ENTRY'!$F$4:$F$1200,"Not of Hispanic/Latino/Spanish origin")</f>
        <v>0</v>
      </c>
      <c r="L33" s="210">
        <f>COUNTIFS('SERVICE ENTRY'!$AM$4:$AM$1200,'Diagnostic Services Report '!A33,'SERVICE ENTRY'!$F$4:$F$1200,"Unknown or Other")</f>
        <v>0</v>
      </c>
    </row>
    <row r="34" spans="1:12" ht="15" x14ac:dyDescent="0.25">
      <c r="A34" s="68" t="s">
        <v>83</v>
      </c>
      <c r="B34" s="106">
        <f>COUNTIF('SERVICE ENTRY'!$AM$4:$AM$1200,'Diagnostic Services Report '!A34)</f>
        <v>0</v>
      </c>
      <c r="C34" s="92">
        <f>COUNTIFS('SERVICE ENTRY'!$AM$4:$AM$1200,'Diagnostic Services Report '!A34,'SERVICE ENTRY'!$G$4:$G$1200,"American Indian or Alaska Native")</f>
        <v>0</v>
      </c>
      <c r="D34" s="42">
        <f>COUNTIFS('SERVICE ENTRY'!$AM$4:$AM$1200,'Diagnostic Services Report '!A34,'SERVICE ENTRY'!$G$4:$G$1200,"Asian")</f>
        <v>0</v>
      </c>
      <c r="E34" s="42">
        <f>COUNTIFS('SERVICE ENTRY'!$AM$4:$AM$1200,'Diagnostic Services Report '!A34,'SERVICE ENTRY'!$G$4:$G$1200,"Black/African-American")</f>
        <v>0</v>
      </c>
      <c r="F34" s="42">
        <f>COUNTIFS('SERVICE ENTRY'!$AM$4:$AM$1200,'Diagnostic Services Report '!A34,'SERVICE ENTRY'!$G$4:$G$1200,"Middle Eastern or North African")</f>
        <v>0</v>
      </c>
      <c r="G34" s="42">
        <f>COUNTIFS('SERVICE ENTRY'!$AM$4:$AM$1200,'Diagnostic Services Report '!A34,'SERVICE ENTRY'!$G$4:$G$1200,"Native Hawaiian or Pacific Islander")</f>
        <v>0</v>
      </c>
      <c r="H34" s="42">
        <f>COUNTIFS('SERVICE ENTRY'!$AM$4:$AM$1200,'Diagnostic Services Report '!A34,'SERVICE ENTRY'!$G$4:$G$1200,"White")</f>
        <v>0</v>
      </c>
      <c r="I34" s="92">
        <f>COUNTIFS('SERVICE ENTRY'!$AM$4:$AM$1200,'Diagnostic Services Report '!A34,'SERVICE ENTRY'!$G$4:$G$1200,"Unknown or Other")</f>
        <v>0</v>
      </c>
      <c r="J34" s="102">
        <f>COUNTIFS('SERVICE ENTRY'!$AM$4:$AM$1200,'Diagnostic Services Report '!A34,'SERVICE ENTRY'!$F$4:$F$1200,"Colombian")+COUNTIFS('SERVICE ENTRY'!$AM$4:$AM$1200,'Diagnostic Services Report '!A34,'SERVICE ENTRY'!$F$4:$F$1200,"Cuban")+COUNTIFS('SERVICE ENTRY'!$AM$4:$AM$1200,'Diagnostic Services Report '!A34,'SERVICE ENTRY'!$F$4:$F$1200,"Dominican")+COUNTIFS('SERVICE ENTRY'!$AM$4:$AM$1200,'Diagnostic Services Report '!A34,'SERVICE ENTRY'!$F$4:$F$1200,"Mexican/Mexican-American/Chicano")+COUNTIFS('SERVICE ENTRY'!$AM$4:$AM$1200,'Diagnostic Services Report '!A34,'SERVICE ENTRY'!$F$4:$F$1200,"Puerto Rican")+COUNTIFS('SERVICE ENTRY'!$AM$4:$AM$1200,'Diagnostic Services Report '!A34,'SERVICE ENTRY'!$F$4:$F$1200,"Salvadoran")+COUNTIFS('SERVICE ENTRY'!$AM$4:$AM$1200,'Diagnostic Services Report '!A34,'SERVICE ENTRY'!$F$4:$F$1200,"Other Hispanic/Latino/Spanish origin")</f>
        <v>0</v>
      </c>
      <c r="K34" s="42">
        <f>COUNTIFS('SERVICE ENTRY'!$AM$4:$AM$1200,'Diagnostic Services Report '!A34,'SERVICE ENTRY'!$F$4:$F$1200,"Not of Hispanic/Latino/Spanish origin")</f>
        <v>0</v>
      </c>
      <c r="L34" s="210">
        <f>COUNTIFS('SERVICE ENTRY'!$AM$4:$AM$1200,'Diagnostic Services Report '!A34,'SERVICE ENTRY'!$F$4:$F$1200,"Unknown or Other")</f>
        <v>0</v>
      </c>
    </row>
    <row r="35" spans="1:12" ht="15.75" thickBot="1" x14ac:dyDescent="0.3">
      <c r="A35" s="68" t="s">
        <v>122</v>
      </c>
      <c r="B35" s="106">
        <f>COUNTIF('SERVICE ENTRY'!$AM$4:$AM$1200,'Diagnostic Services Report '!A35)</f>
        <v>0</v>
      </c>
      <c r="C35" s="92">
        <f>COUNTIFS('SERVICE ENTRY'!$AM$4:$AM$1200,'Diagnostic Services Report '!A35,'SERVICE ENTRY'!$G$4:$G$1200,"American Indian or Alaska Native")</f>
        <v>0</v>
      </c>
      <c r="D35" s="42">
        <f>COUNTIFS('SERVICE ENTRY'!$AM$4:$AM$1200,'Diagnostic Services Report '!A35,'SERVICE ENTRY'!$G$4:$G$1200,"Asian")</f>
        <v>0</v>
      </c>
      <c r="E35" s="42">
        <f>COUNTIFS('SERVICE ENTRY'!$AM$4:$AM$1200,'Diagnostic Services Report '!A35,'SERVICE ENTRY'!$G$4:$G$1200,"Black/African-American")</f>
        <v>0</v>
      </c>
      <c r="F35" s="42">
        <f>COUNTIFS('SERVICE ENTRY'!$AM$4:$AM$1200,'Diagnostic Services Report '!A35,'SERVICE ENTRY'!$G$4:$G$1200,"Middle Eastern or North African")</f>
        <v>0</v>
      </c>
      <c r="G35" s="42">
        <f>COUNTIFS('SERVICE ENTRY'!$AM$4:$AM$1200,'Diagnostic Services Report '!A35,'SERVICE ENTRY'!$G$4:$G$1200,"Native Hawaiian or Pacific Islander")</f>
        <v>0</v>
      </c>
      <c r="H35" s="42">
        <f>COUNTIFS('SERVICE ENTRY'!$AM$4:$AM$1200,'Diagnostic Services Report '!A35,'SERVICE ENTRY'!$G$4:$G$1200,"White")</f>
        <v>0</v>
      </c>
      <c r="I35" s="92">
        <f>COUNTIFS('SERVICE ENTRY'!$AM$4:$AM$1200,'Diagnostic Services Report '!A35,'SERVICE ENTRY'!$G$4:$G$1200,"Unknown or Other")</f>
        <v>0</v>
      </c>
      <c r="J35" s="102">
        <f>COUNTIFS('SERVICE ENTRY'!$AM$4:$AM$1200,'Diagnostic Services Report '!A35,'SERVICE ENTRY'!$F$4:$F$1200,"Colombian")+COUNTIFS('SERVICE ENTRY'!$AM$4:$AM$1200,'Diagnostic Services Report '!A35,'SERVICE ENTRY'!$F$4:$F$1200,"Cuban")+COUNTIFS('SERVICE ENTRY'!$AM$4:$AM$1200,'Diagnostic Services Report '!A35,'SERVICE ENTRY'!$F$4:$F$1200,"Dominican")+COUNTIFS('SERVICE ENTRY'!$AM$4:$AM$1200,'Diagnostic Services Report '!A35,'SERVICE ENTRY'!$F$4:$F$1200,"Mexican/Mexican-American/Chicano")+COUNTIFS('SERVICE ENTRY'!$AM$4:$AM$1200,'Diagnostic Services Report '!A35,'SERVICE ENTRY'!$F$4:$F$1200,"Puerto Rican")+COUNTIFS('SERVICE ENTRY'!$AM$4:$AM$1200,'Diagnostic Services Report '!A35,'SERVICE ENTRY'!$F$4:$F$1200,"Salvadoran")+COUNTIFS('SERVICE ENTRY'!$AM$4:$AM$1200,'Diagnostic Services Report '!A35,'SERVICE ENTRY'!$F$4:$F$1200,"Other Hispanic/Latino/Spanish origin")</f>
        <v>0</v>
      </c>
      <c r="K35" s="42">
        <f>COUNTIFS('SERVICE ENTRY'!$AM$4:$AM$1200,'Diagnostic Services Report '!A35,'SERVICE ENTRY'!$F$4:$F$1200,"Not of Hispanic/Latino/Spanish origin")</f>
        <v>0</v>
      </c>
      <c r="L35" s="210">
        <f>COUNTIFS('SERVICE ENTRY'!$AM$4:$AM$1200,'Diagnostic Services Report '!A35,'SERVICE ENTRY'!$F$4:$F$1200,"Unknown or Other")</f>
        <v>0</v>
      </c>
    </row>
    <row r="36" spans="1:12" ht="15.75" thickBot="1" x14ac:dyDescent="0.3">
      <c r="C36" s="369">
        <f>SUM(C33:I35)</f>
        <v>0</v>
      </c>
      <c r="D36" s="370"/>
      <c r="E36" s="370"/>
      <c r="F36" s="370"/>
      <c r="G36" s="370"/>
      <c r="H36" s="370"/>
      <c r="I36" s="370"/>
      <c r="J36" s="369">
        <f>SUM(J33:L35)</f>
        <v>0</v>
      </c>
      <c r="K36" s="370"/>
      <c r="L36" s="371"/>
    </row>
    <row r="38" spans="1:12" x14ac:dyDescent="0.2">
      <c r="E38" s="3"/>
      <c r="F38" s="3"/>
      <c r="G38" s="3"/>
      <c r="H38" s="3"/>
      <c r="I38" s="3"/>
      <c r="J38" s="3"/>
    </row>
    <row r="39" spans="1:12" x14ac:dyDescent="0.2">
      <c r="E39" s="3"/>
      <c r="F39" s="3"/>
      <c r="G39" s="3"/>
      <c r="H39" s="3"/>
      <c r="I39" s="3"/>
      <c r="J39" s="3"/>
    </row>
    <row r="40" spans="1:12" x14ac:dyDescent="0.2">
      <c r="E40" s="3"/>
      <c r="F40" s="3"/>
      <c r="G40" s="3"/>
      <c r="H40" s="3"/>
      <c r="I40" s="3"/>
      <c r="J40" s="3"/>
    </row>
    <row r="41" spans="1:12" x14ac:dyDescent="0.2">
      <c r="E41" s="3"/>
      <c r="F41" s="3"/>
      <c r="G41" s="3"/>
      <c r="H41" s="3"/>
      <c r="I41" s="3"/>
      <c r="J41" s="3"/>
    </row>
    <row r="42" spans="1:12" x14ac:dyDescent="0.2">
      <c r="E42" s="3"/>
      <c r="F42" s="3"/>
      <c r="G42" s="3"/>
      <c r="H42" s="3"/>
      <c r="I42" s="3"/>
      <c r="J42" s="3"/>
    </row>
    <row r="43" spans="1:12" x14ac:dyDescent="0.2">
      <c r="E43" s="3"/>
      <c r="F43" s="3"/>
      <c r="G43" s="3"/>
      <c r="H43" s="3"/>
      <c r="I43" s="3"/>
      <c r="J43" s="3"/>
    </row>
    <row r="44" spans="1:12" x14ac:dyDescent="0.2">
      <c r="E44" s="3"/>
      <c r="F44" s="3"/>
      <c r="G44" s="3"/>
      <c r="H44" s="3"/>
      <c r="I44" s="3"/>
      <c r="J44" s="3"/>
    </row>
    <row r="45" spans="1:12" x14ac:dyDescent="0.2">
      <c r="E45" s="3"/>
      <c r="F45" s="3"/>
      <c r="G45" s="3"/>
      <c r="H45" s="3"/>
      <c r="I45" s="3"/>
      <c r="J45" s="3"/>
    </row>
    <row r="46" spans="1:12" x14ac:dyDescent="0.2">
      <c r="E46" s="3"/>
      <c r="F46" s="3"/>
      <c r="G46" s="3"/>
      <c r="H46" s="3"/>
      <c r="I46" s="3"/>
      <c r="J46" s="3"/>
    </row>
    <row r="47" spans="1:12" x14ac:dyDescent="0.2">
      <c r="E47" s="3"/>
      <c r="F47" s="3"/>
      <c r="G47" s="3"/>
      <c r="H47" s="3"/>
      <c r="I47" s="3"/>
      <c r="J47" s="3"/>
    </row>
  </sheetData>
  <sheetProtection algorithmName="SHA-512" hashValue="mFaoxUHZiRzo6lv4YnOFusrer5eG/Z2OQHXoaZjy26vxPT/D/fm6kE/CohS8TwcDC1SGFNfealhkR2aahGRWPw==" saltValue="Zew0i7dwA1ZaBDZIZVqtiw==" spinCount="100000" sheet="1" objects="1" scenarios="1"/>
  <mergeCells count="16">
    <mergeCell ref="A1:L1"/>
    <mergeCell ref="A2:L2"/>
    <mergeCell ref="J3:L3"/>
    <mergeCell ref="C3:I3"/>
    <mergeCell ref="C36:I36"/>
    <mergeCell ref="J36:L36"/>
    <mergeCell ref="A10:A11"/>
    <mergeCell ref="B10:B11"/>
    <mergeCell ref="C11:I11"/>
    <mergeCell ref="J11:L11"/>
    <mergeCell ref="A28:A29"/>
    <mergeCell ref="B28:B29"/>
    <mergeCell ref="C29:I29"/>
    <mergeCell ref="J29:L29"/>
    <mergeCell ref="C19:I19"/>
    <mergeCell ref="J19:L1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N41"/>
  <sheetViews>
    <sheetView topLeftCell="A19" zoomScale="80" zoomScaleNormal="80" workbookViewId="0">
      <selection activeCell="O14" sqref="O14"/>
    </sheetView>
  </sheetViews>
  <sheetFormatPr defaultRowHeight="14.25" x14ac:dyDescent="0.2"/>
  <cols>
    <col min="1" max="1" width="36.28515625" style="16" customWidth="1"/>
    <col min="2" max="2" width="33" style="16" customWidth="1"/>
    <col min="3" max="3" width="23.140625" style="16" customWidth="1"/>
    <col min="4" max="4" width="21.85546875" style="16" customWidth="1"/>
    <col min="5" max="10" width="21.42578125" style="15" customWidth="1"/>
    <col min="11" max="11" width="24.85546875" style="15" customWidth="1"/>
    <col min="12" max="12" width="22.28515625" style="15" customWidth="1"/>
    <col min="13" max="16384" width="9.140625" style="3"/>
  </cols>
  <sheetData>
    <row r="1" spans="1:14" ht="43.5" customHeight="1" x14ac:dyDescent="0.2">
      <c r="A1" s="375" t="s">
        <v>245</v>
      </c>
      <c r="B1" s="376"/>
      <c r="C1" s="376"/>
      <c r="D1" s="376"/>
      <c r="E1" s="376"/>
      <c r="F1" s="376"/>
      <c r="G1" s="376"/>
      <c r="H1" s="376"/>
      <c r="I1" s="376"/>
      <c r="J1" s="376"/>
      <c r="K1" s="376"/>
      <c r="L1" s="376"/>
    </row>
    <row r="2" spans="1:14" ht="37.5" customHeight="1" x14ac:dyDescent="0.2">
      <c r="A2" s="393" t="s">
        <v>58</v>
      </c>
      <c r="B2" s="394"/>
      <c r="C2" s="394"/>
      <c r="D2" s="394"/>
      <c r="E2" s="394"/>
      <c r="F2" s="394"/>
      <c r="G2" s="394"/>
      <c r="H2" s="394"/>
      <c r="I2" s="394"/>
      <c r="J2" s="394"/>
      <c r="K2" s="394"/>
      <c r="L2" s="394"/>
    </row>
    <row r="3" spans="1:14" ht="37.5" customHeight="1" x14ac:dyDescent="0.2">
      <c r="A3" s="153" t="s">
        <v>255</v>
      </c>
      <c r="B3" s="70" t="s">
        <v>254</v>
      </c>
      <c r="C3" s="420" t="s">
        <v>326</v>
      </c>
      <c r="D3" s="421"/>
      <c r="E3" s="421"/>
      <c r="F3" s="421"/>
      <c r="G3" s="421"/>
      <c r="H3" s="421"/>
      <c r="I3" s="422"/>
      <c r="J3" s="418" t="s">
        <v>327</v>
      </c>
      <c r="K3" s="419"/>
      <c r="L3" s="419"/>
    </row>
    <row r="4" spans="1:14" ht="75.75" customHeight="1" x14ac:dyDescent="0.2">
      <c r="A4" s="144" t="s">
        <v>71</v>
      </c>
      <c r="B4" s="149" t="s">
        <v>179</v>
      </c>
      <c r="C4" s="176" t="s">
        <v>250</v>
      </c>
      <c r="D4" s="176" t="s">
        <v>251</v>
      </c>
      <c r="E4" s="176" t="s">
        <v>246</v>
      </c>
      <c r="F4" s="176" t="s">
        <v>373</v>
      </c>
      <c r="G4" s="176" t="s">
        <v>252</v>
      </c>
      <c r="H4" s="176" t="s">
        <v>248</v>
      </c>
      <c r="I4" s="143" t="s">
        <v>388</v>
      </c>
      <c r="J4" s="145" t="s">
        <v>247</v>
      </c>
      <c r="K4" s="137" t="s">
        <v>324</v>
      </c>
      <c r="L4" s="143" t="s">
        <v>388</v>
      </c>
    </row>
    <row r="5" spans="1:14" s="54" customFormat="1" ht="17.25" customHeight="1" x14ac:dyDescent="0.25">
      <c r="A5" s="110" t="s">
        <v>98</v>
      </c>
      <c r="B5" s="106">
        <f>COUNTIF('SERVICE ENTRY'!$AN$4:$AN$1200,'Treatment Services Report '!A5)</f>
        <v>0</v>
      </c>
      <c r="C5" s="219">
        <f>COUNTIFS('SERVICE ENTRY'!$AN$4:$AN$1200,'Treatment Services Report '!A5,'SERVICE ENTRY'!$G$4:$G$1200,"American Indian or Alaska Native")</f>
        <v>0</v>
      </c>
      <c r="D5" s="94">
        <f>COUNTIFS('SERVICE ENTRY'!$AN$4:$AN$1200,'Treatment Services Report '!A5,'SERVICE ENTRY'!$G$4:$G$1200,"Asian")</f>
        <v>0</v>
      </c>
      <c r="E5" s="94">
        <f>COUNTIFS('SERVICE ENTRY'!$AN$4:$AN$1200,'Treatment Services Report '!A5,'SERVICE ENTRY'!$G$4:$G$1200,"Black/African-American")</f>
        <v>0</v>
      </c>
      <c r="F5" s="94">
        <f>COUNTIFS('SERVICE ENTRY'!$AN$4:$AN$1200,'Treatment Services Report '!A5,'SERVICE ENTRY'!$G$4:$G$1200,"Middle Eastern or North African")</f>
        <v>0</v>
      </c>
      <c r="G5" s="235">
        <f>COUNTIFS('SERVICE ENTRY'!$AN$4:$AN$1200,'Treatment Services Report '!A5,'SERVICE ENTRY'!$G$4:$G$1200,"Native Hawaiian or Pacific Islander")</f>
        <v>0</v>
      </c>
      <c r="H5" s="235">
        <f>COUNTIFS('SERVICE ENTRY'!$AN$4:$AN$1200,'Treatment Services Report '!A5,'SERVICE ENTRY'!$G$4:$G$1200,"White")</f>
        <v>0</v>
      </c>
      <c r="I5" s="235">
        <f>COUNTIFS('SERVICE ENTRY'!$AN$4:$AN$1200,'Treatment Services Report '!A5,'SERVICE ENTRY'!$G$4:$G$1200,"Unknown or Other")</f>
        <v>0</v>
      </c>
      <c r="J5" s="220">
        <f>COUNTIFS('SERVICE ENTRY'!$AN$4:$AN$1200,'Treatment Services Report '!A5,'SERVICE ENTRY'!$F$4:$F$1200,"Colombian")+COUNTIFS('SERVICE ENTRY'!$AN$4:$AN$1200,'Treatment Services Report '!A5,'SERVICE ENTRY'!$F$4:$F$1200,"Cuban")+COUNTIFS('SERVICE ENTRY'!$AN$4:$AN$1200,'Treatment Services Report '!A5,'SERVICE ENTRY'!$F$4:$F$1200,"Dominican")+COUNTIFS('SERVICE ENTRY'!$AN$4:$AN$1200,'Treatment Services Report '!A5,'SERVICE ENTRY'!$F$4:$F$1200,"Mexican/Mexican-American/Chicano")+COUNTIFS('SERVICE ENTRY'!$AN$4:$AN$1200,'Treatment Services Report '!A5,'SERVICE ENTRY'!$F$4:$F$1200,"Puerto Rican")++COUNTIFS('SERVICE ENTRY'!$AN$4:$AN$1200,'Treatment Services Report '!A5,'SERVICE ENTRY'!$F$4:$F$1200,"Salvadoran")+COUNTIFS('SERVICE ENTRY'!$AN$4:$AN$1200,'Treatment Services Report '!A5,'SERVICE ENTRY'!$F$4:$F$1200,"Other Hispanic/Latino/Spanish origin")</f>
        <v>0</v>
      </c>
      <c r="K5" s="94">
        <f>COUNTIFS('SERVICE ENTRY'!$AN$4:$AN$1200,'Treatment Services Report '!A5,'SERVICE ENTRY'!$F$4:$F$1200,"Not of Hispanic/Latino/Spanish origin")</f>
        <v>0</v>
      </c>
      <c r="L5" s="210">
        <f>+COUNTIFS('SERVICE ENTRY'!$AN$4:$AN$1200,'Treatment Services Report '!A5,'SERVICE ENTRY'!$F$4:$F$1200,"Unknown or Other")</f>
        <v>0</v>
      </c>
    </row>
    <row r="6" spans="1:14" s="54" customFormat="1" ht="15" x14ac:dyDescent="0.25">
      <c r="A6" s="110" t="s">
        <v>70</v>
      </c>
      <c r="B6" s="106">
        <f>COUNTIF('SERVICE ENTRY'!$AN$4:$AN$1200,'Treatment Services Report '!A6)</f>
        <v>0</v>
      </c>
      <c r="C6" s="219">
        <f>COUNTIFS('SERVICE ENTRY'!$AN$4:$AN$1200,'Treatment Services Report '!A6,'SERVICE ENTRY'!$G$4:$G$1200,"American Indian or Alaska Native")</f>
        <v>0</v>
      </c>
      <c r="D6" s="94">
        <f>COUNTIFS('SERVICE ENTRY'!$AN$4:$AN$1200,'Treatment Services Report '!A6,'SERVICE ENTRY'!$G$4:$G$1200,"Asian")</f>
        <v>0</v>
      </c>
      <c r="E6" s="94">
        <f>COUNTIFS('SERVICE ENTRY'!$AN$4:$AN$1200,'Treatment Services Report '!A6,'SERVICE ENTRY'!$G$4:$G$1200,"Black/African-American")</f>
        <v>0</v>
      </c>
      <c r="F6" s="94">
        <f>COUNTIFS('SERVICE ENTRY'!$AN$4:$AN$1200,'Treatment Services Report '!A6,'SERVICE ENTRY'!$G$4:$G$1200,"Middle Eastern or North African")</f>
        <v>0</v>
      </c>
      <c r="G6" s="235">
        <f>COUNTIFS('SERVICE ENTRY'!$AN$4:$AN$1200,'Treatment Services Report '!A6,'SERVICE ENTRY'!$G$4:$G$1200,"Native Hawaiian or Pacific Islander")</f>
        <v>0</v>
      </c>
      <c r="H6" s="235">
        <f>COUNTIFS('SERVICE ENTRY'!$AN$4:$AN$1200,'Treatment Services Report '!A6,'SERVICE ENTRY'!$G$4:$G$1200,"White")</f>
        <v>0</v>
      </c>
      <c r="I6" s="235">
        <f>COUNTIFS('SERVICE ENTRY'!$AN$4:$AN$1200,'Treatment Services Report '!A6,'SERVICE ENTRY'!$G$4:$G$1200,"Unknown or Other")</f>
        <v>0</v>
      </c>
      <c r="J6" s="220">
        <f>COUNTIFS('SERVICE ENTRY'!$AN$4:$AN$1200,'Treatment Services Report '!A6,'SERVICE ENTRY'!$F$4:$F$1200,"Colombian")+COUNTIFS('SERVICE ENTRY'!$AN$4:$AN$1200,'Treatment Services Report '!A6,'SERVICE ENTRY'!$F$4:$F$1200,"Cuban")+COUNTIFS('SERVICE ENTRY'!$AN$4:$AN$1200,'Treatment Services Report '!A6,'SERVICE ENTRY'!$F$4:$F$1200,"Dominican")+COUNTIFS('SERVICE ENTRY'!$AN$4:$AN$1200,'Treatment Services Report '!A6,'SERVICE ENTRY'!$F$4:$F$1200,"Mexican/Mexican-American/Chicano")+COUNTIFS('SERVICE ENTRY'!$AN$4:$AN$1200,'Treatment Services Report '!A6,'SERVICE ENTRY'!$F$4:$F$1200,"Puerto Rican")++COUNTIFS('SERVICE ENTRY'!$AN$4:$AN$1200,'Treatment Services Report '!A6,'SERVICE ENTRY'!$F$4:$F$1200,"Salvadoran")+COUNTIFS('SERVICE ENTRY'!$AN$4:$AN$1200,'Treatment Services Report '!A6,'SERVICE ENTRY'!$F$4:$F$1200,"Other Hispanic/Latino/Spanish origin")</f>
        <v>0</v>
      </c>
      <c r="K6" s="94">
        <f>COUNTIFS('SERVICE ENTRY'!$AN$4:$AN$1200,'Treatment Services Report '!A6,'SERVICE ENTRY'!$F$4:$F$1200,"Not of Hispanic/Latino/Spanish origin")</f>
        <v>0</v>
      </c>
      <c r="L6" s="210">
        <f>+COUNTIFS('SERVICE ENTRY'!$AN$4:$AN$1200,'Treatment Services Report '!A6,'SERVICE ENTRY'!$F$4:$F$1200,"Unknown or Other")</f>
        <v>0</v>
      </c>
    </row>
    <row r="7" spans="1:14" s="54" customFormat="1" ht="15" x14ac:dyDescent="0.25">
      <c r="A7" s="110" t="s">
        <v>72</v>
      </c>
      <c r="B7" s="106">
        <f>COUNTIF('SERVICE ENTRY'!$AN$4:$AN$1200,'Treatment Services Report '!A7)</f>
        <v>0</v>
      </c>
      <c r="C7" s="219">
        <f>COUNTIFS('SERVICE ENTRY'!$AN$4:$AN$1200,'Treatment Services Report '!A7,'SERVICE ENTRY'!$G$4:$G$1200,"American Indian or Alaska Native")</f>
        <v>0</v>
      </c>
      <c r="D7" s="94">
        <f>COUNTIFS('SERVICE ENTRY'!$AN$4:$AN$1200,'Treatment Services Report '!A7,'SERVICE ENTRY'!$G$4:$G$1200,"Asian")</f>
        <v>0</v>
      </c>
      <c r="E7" s="94">
        <f>COUNTIFS('SERVICE ENTRY'!$AN$4:$AN$1200,'Treatment Services Report '!A7,'SERVICE ENTRY'!$G$4:$G$1200,"Black/African-American")</f>
        <v>0</v>
      </c>
      <c r="F7" s="94">
        <f>COUNTIFS('SERVICE ENTRY'!$AN$4:$AN$1200,'Treatment Services Report '!A7,'SERVICE ENTRY'!$G$4:$G$1200,"Middle Eastern or North African")</f>
        <v>0</v>
      </c>
      <c r="G7" s="235">
        <f>COUNTIFS('SERVICE ENTRY'!$AN$4:$AN$1200,'Treatment Services Report '!A7,'SERVICE ENTRY'!$G$4:$G$1200,"Native Hawaiian or Pacific Islander")</f>
        <v>0</v>
      </c>
      <c r="H7" s="235">
        <f>COUNTIFS('SERVICE ENTRY'!$AN$4:$AN$1200,'Treatment Services Report '!A7,'SERVICE ENTRY'!$G$4:$G$1200,"White")</f>
        <v>0</v>
      </c>
      <c r="I7" s="235">
        <f>COUNTIFS('SERVICE ENTRY'!$AN$4:$AN$1200,'Treatment Services Report '!A7,'SERVICE ENTRY'!$G$4:$G$1200,"Unknown or Other")</f>
        <v>0</v>
      </c>
      <c r="J7" s="220">
        <f>COUNTIFS('SERVICE ENTRY'!$AN$4:$AN$1200,'Treatment Services Report '!A7,'SERVICE ENTRY'!$F$4:$F$1200,"Colombian")+COUNTIFS('SERVICE ENTRY'!$AN$4:$AN$1200,'Treatment Services Report '!A7,'SERVICE ENTRY'!$F$4:$F$1200,"Cuban")+COUNTIFS('SERVICE ENTRY'!$AN$4:$AN$1200,'Treatment Services Report '!A7,'SERVICE ENTRY'!$F$4:$F$1200,"Dominican")+COUNTIFS('SERVICE ENTRY'!$AN$4:$AN$1200,'Treatment Services Report '!A7,'SERVICE ENTRY'!$F$4:$F$1200,"Mexican/Mexican-American/Chicano")+COUNTIFS('SERVICE ENTRY'!$AN$4:$AN$1200,'Treatment Services Report '!A7,'SERVICE ENTRY'!$F$4:$F$1200,"Puerto Rican")++COUNTIFS('SERVICE ENTRY'!$AN$4:$AN$1200,'Treatment Services Report '!A7,'SERVICE ENTRY'!$F$4:$F$1200,"Salvadoran")+COUNTIFS('SERVICE ENTRY'!$AN$4:$AN$1200,'Treatment Services Report '!A7,'SERVICE ENTRY'!$F$4:$F$1200,"Other Hispanic/Latino/Spanish origin")</f>
        <v>0</v>
      </c>
      <c r="K7" s="94">
        <f>COUNTIFS('SERVICE ENTRY'!$AN$4:$AN$1200,'Treatment Services Report '!A7,'SERVICE ENTRY'!$F$4:$F$1200,"Not of Hispanic/Latino/Spanish origin")</f>
        <v>0</v>
      </c>
      <c r="L7" s="210">
        <f>+COUNTIFS('SERVICE ENTRY'!$AN$4:$AN$1200,'Treatment Services Report '!A7,'SERVICE ENTRY'!$F$4:$F$1200,"Unknown or Other")</f>
        <v>0</v>
      </c>
    </row>
    <row r="8" spans="1:14" s="54" customFormat="1" ht="15" x14ac:dyDescent="0.25">
      <c r="A8" s="110" t="s">
        <v>139</v>
      </c>
      <c r="B8" s="106">
        <f>COUNTIF('SERVICE ENTRY'!$AN$4:$AN$1200,'Treatment Services Report '!A8)</f>
        <v>0</v>
      </c>
      <c r="C8" s="219">
        <f>COUNTIFS('SERVICE ENTRY'!$AN$4:$AN$1200,'Treatment Services Report '!A8,'SERVICE ENTRY'!$G$4:$G$1200,"American Indian or Alaska Native")</f>
        <v>0</v>
      </c>
      <c r="D8" s="94">
        <f>COUNTIFS('SERVICE ENTRY'!$AN$4:$AN$1200,'Treatment Services Report '!A8,'SERVICE ENTRY'!$G$4:$G$1200,"Asian")</f>
        <v>0</v>
      </c>
      <c r="E8" s="94">
        <f>COUNTIFS('SERVICE ENTRY'!$AN$4:$AN$1200,'Treatment Services Report '!A8,'SERVICE ENTRY'!$G$4:$G$1200,"Black/African-American")</f>
        <v>0</v>
      </c>
      <c r="F8" s="94">
        <f>COUNTIFS('SERVICE ENTRY'!$AN$4:$AN$1200,'Treatment Services Report '!A8,'SERVICE ENTRY'!$G$4:$G$1200,"Middle Eastern or North African")</f>
        <v>0</v>
      </c>
      <c r="G8" s="235">
        <f>COUNTIFS('SERVICE ENTRY'!$AN$4:$AN$1200,'Treatment Services Report '!A8,'SERVICE ENTRY'!$G$4:$G$1200,"Native Hawaiian or Pacific Islander")</f>
        <v>0</v>
      </c>
      <c r="H8" s="235">
        <f>COUNTIFS('SERVICE ENTRY'!$AN$4:$AN$1200,'Treatment Services Report '!A8,'SERVICE ENTRY'!$G$4:$G$1200,"White")</f>
        <v>0</v>
      </c>
      <c r="I8" s="235">
        <f>COUNTIFS('SERVICE ENTRY'!$AN$4:$AN$1200,'Treatment Services Report '!A8,'SERVICE ENTRY'!$G$4:$G$1200,"Unknown or Other")</f>
        <v>0</v>
      </c>
      <c r="J8" s="220">
        <f>COUNTIFS('SERVICE ENTRY'!$AN$4:$AN$1200,'Treatment Services Report '!A8,'SERVICE ENTRY'!$F$4:$F$1200,"Colombian")+COUNTIFS('SERVICE ENTRY'!$AN$4:$AN$1200,'Treatment Services Report '!A8,'SERVICE ENTRY'!$F$4:$F$1200,"Cuban")+COUNTIFS('SERVICE ENTRY'!$AN$4:$AN$1200,'Treatment Services Report '!A8,'SERVICE ENTRY'!$F$4:$F$1200,"Dominican")+COUNTIFS('SERVICE ENTRY'!$AN$4:$AN$1200,'Treatment Services Report '!A8,'SERVICE ENTRY'!$F$4:$F$1200,"Mexican/Mexican-American/Chicano")+COUNTIFS('SERVICE ENTRY'!$AN$4:$AN$1200,'Treatment Services Report '!A8,'SERVICE ENTRY'!$F$4:$F$1200,"Puerto Rican")++COUNTIFS('SERVICE ENTRY'!$AN$4:$AN$1200,'Treatment Services Report '!A8,'SERVICE ENTRY'!$F$4:$F$1200,"Salvadoran")+COUNTIFS('SERVICE ENTRY'!$AN$4:$AN$1200,'Treatment Services Report '!A8,'SERVICE ENTRY'!$F$4:$F$1200,"Other Hispanic/Latino/Spanish origin")</f>
        <v>0</v>
      </c>
      <c r="K8" s="94">
        <f>COUNTIFS('SERVICE ENTRY'!$AN$4:$AN$1200,'Treatment Services Report '!A8,'SERVICE ENTRY'!$F$4:$F$1200,"Not of Hispanic/Latino/Spanish origin")</f>
        <v>0</v>
      </c>
      <c r="L8" s="210">
        <f>+COUNTIFS('SERVICE ENTRY'!$AN$4:$AN$1200,'Treatment Services Report '!A8,'SERVICE ENTRY'!$F$4:$F$1200,"Unknown or Other")</f>
        <v>0</v>
      </c>
    </row>
    <row r="9" spans="1:14" s="54" customFormat="1" ht="15.75" thickBot="1" x14ac:dyDescent="0.3">
      <c r="A9" s="113" t="s">
        <v>122</v>
      </c>
      <c r="B9" s="106">
        <f>COUNTIF('SERVICE ENTRY'!$AN$4:$AN$1200,'Treatment Services Report '!A9)</f>
        <v>0</v>
      </c>
      <c r="C9" s="221">
        <f>COUNTIFS('SERVICE ENTRY'!$AN$4:$AN$1200,'Treatment Services Report '!A9,'SERVICE ENTRY'!$G$4:$G$1200,"American Indian or Alaska Native")</f>
        <v>0</v>
      </c>
      <c r="D9" s="222">
        <f>COUNTIFS('SERVICE ENTRY'!$AN$4:$AN$1200,'Treatment Services Report '!A9,'SERVICE ENTRY'!$G$4:$G$1200,"Asian")</f>
        <v>0</v>
      </c>
      <c r="E9" s="222">
        <f>COUNTIFS('SERVICE ENTRY'!$AN$4:$AN$1200,'Treatment Services Report '!A9,'SERVICE ENTRY'!$G$4:$G$1200,"Black/African-American")</f>
        <v>0</v>
      </c>
      <c r="F9" s="222">
        <f>COUNTIFS('SERVICE ENTRY'!$AN$4:$AN$1200,'Treatment Services Report '!A9,'SERVICE ENTRY'!$G$4:$G$1200,"Middle Eastern or North African")</f>
        <v>0</v>
      </c>
      <c r="G9" s="236">
        <f>COUNTIFS('SERVICE ENTRY'!$AN$4:$AN$1200,'Treatment Services Report '!A9,'SERVICE ENTRY'!$G$4:$G$1200,"Native Hawaiian or Pacific Islander")</f>
        <v>0</v>
      </c>
      <c r="H9" s="236">
        <f>COUNTIFS('SERVICE ENTRY'!$AN$4:$AN$1200,'Treatment Services Report '!A9,'SERVICE ENTRY'!$G$4:$G$1200,"White")</f>
        <v>0</v>
      </c>
      <c r="I9" s="236">
        <f>COUNTIFS('SERVICE ENTRY'!$AN$4:$AN$1200,'Treatment Services Report '!A9,'SERVICE ENTRY'!$G$4:$G$1200,"Unknown or Other")</f>
        <v>0</v>
      </c>
      <c r="J9" s="223">
        <f>COUNTIFS('SERVICE ENTRY'!$AN$4:$AN$1200,'Treatment Services Report '!A9,'SERVICE ENTRY'!$F$4:$F$1200,"Colombian")+COUNTIFS('SERVICE ENTRY'!$AN$4:$AN$1200,'Treatment Services Report '!A9,'SERVICE ENTRY'!$F$4:$F$1200,"Cuban")+COUNTIFS('SERVICE ENTRY'!$AN$4:$AN$1200,'Treatment Services Report '!A9,'SERVICE ENTRY'!$F$4:$F$1200,"Dominican")+COUNTIFS('SERVICE ENTRY'!$AN$4:$AN$1200,'Treatment Services Report '!A9,'SERVICE ENTRY'!$F$4:$F$1200,"Mexican/Mexican-American/Chicano")+COUNTIFS('SERVICE ENTRY'!$AN$4:$AN$1200,'Treatment Services Report '!A9,'SERVICE ENTRY'!$F$4:$F$1200,"Puerto Rican")++COUNTIFS('SERVICE ENTRY'!$AN$4:$AN$1200,'Treatment Services Report '!A9,'SERVICE ENTRY'!$F$4:$F$1200,"Salvadoran")+COUNTIFS('SERVICE ENTRY'!$AN$4:$AN$1200,'Treatment Services Report '!A9,'SERVICE ENTRY'!$F$4:$F$1200,"Other Hispanic/Latino/Spanish origin")</f>
        <v>0</v>
      </c>
      <c r="K9" s="222">
        <f>COUNTIFS('SERVICE ENTRY'!$AN$4:$AN$1200,'Treatment Services Report '!A9,'SERVICE ENTRY'!$F$4:$F$1200,"Not of Hispanic/Latino/Spanish origin")</f>
        <v>0</v>
      </c>
      <c r="L9" s="234">
        <f>+COUNTIFS('SERVICE ENTRY'!$AN$4:$AN$1200,'Treatment Services Report '!A9,'SERVICE ENTRY'!$F$4:$F$1200,"Unknown or Other")</f>
        <v>0</v>
      </c>
    </row>
    <row r="10" spans="1:14" s="54" customFormat="1" ht="15.75" thickBot="1" x14ac:dyDescent="0.3">
      <c r="A10" s="365" t="s">
        <v>269</v>
      </c>
      <c r="B10" s="367">
        <f>SUM(B4:B9)</f>
        <v>0</v>
      </c>
      <c r="C10" s="198">
        <f>SUM(C5:C9)</f>
        <v>0</v>
      </c>
      <c r="D10" s="215">
        <f t="shared" ref="D10:L10" si="0">SUM(D5:D9)</f>
        <v>0</v>
      </c>
      <c r="E10" s="215">
        <f t="shared" si="0"/>
        <v>0</v>
      </c>
      <c r="F10" s="215">
        <f t="shared" si="0"/>
        <v>0</v>
      </c>
      <c r="G10" s="215">
        <f t="shared" si="0"/>
        <v>0</v>
      </c>
      <c r="H10" s="215">
        <f t="shared" si="0"/>
        <v>0</v>
      </c>
      <c r="I10" s="217">
        <f t="shared" si="0"/>
        <v>0</v>
      </c>
      <c r="J10" s="198">
        <f t="shared" si="0"/>
        <v>0</v>
      </c>
      <c r="K10" s="215">
        <f t="shared" si="0"/>
        <v>0</v>
      </c>
      <c r="L10" s="216">
        <f t="shared" si="0"/>
        <v>0</v>
      </c>
    </row>
    <row r="11" spans="1:14" s="54" customFormat="1" ht="28.5" customHeight="1" thickBot="1" x14ac:dyDescent="0.3">
      <c r="A11" s="366"/>
      <c r="B11" s="368"/>
      <c r="C11" s="372">
        <f>SUM(C10:I10)</f>
        <v>0</v>
      </c>
      <c r="D11" s="373"/>
      <c r="E11" s="373"/>
      <c r="F11" s="373"/>
      <c r="G11" s="373"/>
      <c r="H11" s="373"/>
      <c r="I11" s="373"/>
      <c r="J11" s="372">
        <f>SUM(J10:L10)</f>
        <v>0</v>
      </c>
      <c r="K11" s="373"/>
      <c r="L11" s="374"/>
    </row>
    <row r="12" spans="1:14" s="54" customFormat="1" x14ac:dyDescent="0.2">
      <c r="A12" s="16"/>
      <c r="B12" s="16"/>
      <c r="E12" s="16"/>
      <c r="F12" s="16"/>
      <c r="G12" s="16"/>
      <c r="H12" s="16"/>
      <c r="I12" s="16"/>
      <c r="J12" s="16"/>
      <c r="K12" s="16"/>
      <c r="L12" s="16"/>
    </row>
    <row r="13" spans="1:14" s="54" customFormat="1" x14ac:dyDescent="0.2">
      <c r="A13" s="16"/>
      <c r="B13" s="16"/>
      <c r="E13" s="16"/>
      <c r="F13" s="16"/>
      <c r="G13" s="16"/>
      <c r="H13" s="16"/>
      <c r="I13" s="16"/>
      <c r="J13" s="16"/>
      <c r="K13" s="16"/>
      <c r="L13" s="16"/>
    </row>
    <row r="14" spans="1:14" s="54" customFormat="1" ht="53.25" customHeight="1" x14ac:dyDescent="0.2">
      <c r="A14" s="137" t="s">
        <v>224</v>
      </c>
      <c r="B14" s="149" t="s">
        <v>225</v>
      </c>
      <c r="C14" s="176" t="s">
        <v>250</v>
      </c>
      <c r="D14" s="176" t="s">
        <v>251</v>
      </c>
      <c r="E14" s="176" t="s">
        <v>246</v>
      </c>
      <c r="F14" s="176" t="s">
        <v>373</v>
      </c>
      <c r="G14" s="176" t="s">
        <v>252</v>
      </c>
      <c r="H14" s="176" t="s">
        <v>248</v>
      </c>
      <c r="I14" s="143" t="s">
        <v>388</v>
      </c>
      <c r="J14" s="145" t="s">
        <v>247</v>
      </c>
      <c r="K14" s="137" t="s">
        <v>324</v>
      </c>
      <c r="L14" s="143" t="s">
        <v>388</v>
      </c>
    </row>
    <row r="15" spans="1:14" s="54" customFormat="1" ht="15.75" thickBot="1" x14ac:dyDescent="0.3">
      <c r="A15" s="68" t="s">
        <v>204</v>
      </c>
      <c r="B15" s="106">
        <f>COUNTIF('SERVICE ENTRY'!$AO$4:$AO$1200,'Treatment Services Report '!A15)</f>
        <v>0</v>
      </c>
      <c r="C15" s="92">
        <f>COUNTIFS('SERVICE ENTRY'!$AO$4:$AO$1200,'Treatment Services Report '!A15,'SERVICE ENTRY'!$G$4:$G$1200,"American Indian or Alaska Native")</f>
        <v>0</v>
      </c>
      <c r="D15" s="42">
        <f>COUNTIFS('SERVICE ENTRY'!$AO$4:$AO$1200,'Treatment Services Report '!A15,'SERVICE ENTRY'!$G$4:$G$1200,"Asian")</f>
        <v>0</v>
      </c>
      <c r="E15" s="42">
        <f>COUNTIFS('SERVICE ENTRY'!$AO$4:$AO$1200,'Treatment Services Report '!A15,'SERVICE ENTRY'!$G$4:$G$1200,"Black/African-American")</f>
        <v>0</v>
      </c>
      <c r="F15" s="42">
        <f>COUNTIFS('SERVICE ENTRY'!$AO$4:$AO$1200,'Treatment Services Report '!A15,'SERVICE ENTRY'!$G$4:$G$1200,"Middle Eastern or North African")</f>
        <v>0</v>
      </c>
      <c r="G15" s="42">
        <f>COUNTIFS('SERVICE ENTRY'!$AO$4:$AO$1200,'Treatment Services Report '!A15,'SERVICE ENTRY'!$G$4:$G$1200,"Native Hawaiian or Pacific Islander")</f>
        <v>0</v>
      </c>
      <c r="H15" s="42">
        <f>COUNTIFS('SERVICE ENTRY'!$AO$4:$AO$1200,'Treatment Services Report '!A15,'SERVICE ENTRY'!$G$4:$G$1200,"White")</f>
        <v>0</v>
      </c>
      <c r="I15" s="92">
        <f>COUNTIFS('SERVICE ENTRY'!$AO$4:$AO$1200,'Treatment Services Report '!A15,'SERVICE ENTRY'!$G$4:$G$1200,"Unknown or Other")</f>
        <v>0</v>
      </c>
      <c r="J15" s="220">
        <f>COUNTIFS('SERVICE ENTRY'!$AO$4:$AO$1200,'Treatment Services Report '!A15,'SERVICE ENTRY'!$F$4:$F$1200,"Colombian")+COUNTIFS('SERVICE ENTRY'!$AO$4:$AO$1200,'Treatment Services Report '!A15,'SERVICE ENTRY'!$F$4:$F$1200,"Cuban")+COUNTIFS('SERVICE ENTRY'!$AO$4:$AO$1200,'Treatment Services Report '!A15,'SERVICE ENTRY'!$F$4:$F$1200,"Dominican")+COUNTIFS('SERVICE ENTRY'!$AO$4:$AO$1200,'Treatment Services Report '!A15,'SERVICE ENTRY'!$F$4:$F$1200,"Mexican/Mexican-American/Chicano")+COUNTIFS('SERVICE ENTRY'!$AO$4:$AO$1200,'Treatment Services Report '!A15,'SERVICE ENTRY'!$F$4:$F$1200,"Puerto Rican")+COUNTIFS('SERVICE ENTRY'!$AO$4:$AO$1200,'Treatment Services Report '!A15,'SERVICE ENTRY'!$F$4:$F$1200,"Salvadoran")+COUNTIFS('SERVICE ENTRY'!$AO$4:$AO$1200,'Treatment Services Report '!A15,'SERVICE ENTRY'!$F$4:$F$1200,"Other Hispanic/Latino/Spanish origin")</f>
        <v>0</v>
      </c>
      <c r="K15" s="94">
        <f>COUNTIFS('SERVICE ENTRY'!$AO$4:$AO$1200,'Treatment Services Report '!A15,'SERVICE ENTRY'!$F$4:$F$1200,"Not of Hispanic/Latino/Spanish origin")</f>
        <v>0</v>
      </c>
      <c r="L15" s="210">
        <f>COUNTIFS('SERVICE ENTRY'!$AO$4:$AO$1200,'Treatment Services Report '!A15,'SERVICE ENTRY'!$F$4:$F$1200,"Unknown or Other")</f>
        <v>0</v>
      </c>
    </row>
    <row r="16" spans="1:14" s="54" customFormat="1" ht="15" x14ac:dyDescent="0.25">
      <c r="A16" s="264" t="s">
        <v>205</v>
      </c>
      <c r="B16" s="265">
        <f>COUNTIF('SERVICE ENTRY'!$AO$4:$AO$1200,'Treatment Services Report '!A16)</f>
        <v>0</v>
      </c>
      <c r="C16" s="266">
        <f>COUNTIFS('SERVICE ENTRY'!$AO$4:$AO$1200,'Treatment Services Report '!A16,'SERVICE ENTRY'!$G$4:$G$1200,"American Indian or Alaska Native")</f>
        <v>0</v>
      </c>
      <c r="D16" s="267">
        <f>COUNTIFS('SERVICE ENTRY'!$AO$4:$AO$1200,'Treatment Services Report '!A16,'SERVICE ENTRY'!$G$4:$G$1200,"Asian")</f>
        <v>0</v>
      </c>
      <c r="E16" s="267">
        <f>COUNTIFS('SERVICE ENTRY'!$AO$4:$AO$1200,'Treatment Services Report '!A16,'SERVICE ENTRY'!$G$4:$G$1200,"Black/African-American")</f>
        <v>0</v>
      </c>
      <c r="F16" s="267">
        <f>COUNTIFS('SERVICE ENTRY'!$AO$4:$AO$1200,'Treatment Services Report '!A16,'SERVICE ENTRY'!$G$4:$G$1200,"Middle Eastern or North African")</f>
        <v>0</v>
      </c>
      <c r="G16" s="267">
        <f>COUNTIFS('SERVICE ENTRY'!$AO$4:$AO$1200,'Treatment Services Report '!A16,'SERVICE ENTRY'!$G$4:$G$1200,"Native Hawaiian or Pacific Islander")</f>
        <v>0</v>
      </c>
      <c r="H16" s="267">
        <f>COUNTIFS('SERVICE ENTRY'!$AO$4:$AO$1200,'Treatment Services Report '!A16,'SERVICE ENTRY'!$G$4:$G$1200,"White")</f>
        <v>0</v>
      </c>
      <c r="I16" s="266">
        <f>COUNTIFS('SERVICE ENTRY'!$AO$4:$AO$1200,'Treatment Services Report '!A16,'SERVICE ENTRY'!$G$4:$G$1200,"Unknown or Other")</f>
        <v>0</v>
      </c>
      <c r="J16" s="268">
        <f>COUNTIFS('SERVICE ENTRY'!$AO$4:$AO$1200,'Treatment Services Report '!A16,'SERVICE ENTRY'!$F$4:$F$1200,"Colombian")+COUNTIFS('SERVICE ENTRY'!$AO$4:$AO$1200,'Treatment Services Report '!A16,'SERVICE ENTRY'!$F$4:$F$1200,"Cuban")+COUNTIFS('SERVICE ENTRY'!$AO$4:$AO$1200,'Treatment Services Report '!A16,'SERVICE ENTRY'!$F$4:$F$1200,"Dominican")+COUNTIFS('SERVICE ENTRY'!$AO$4:$AO$1200,'Treatment Services Report '!A16,'SERVICE ENTRY'!$F$4:$F$1200,"Mexican/Mexican-American/Chicano")+COUNTIFS('SERVICE ENTRY'!$AO$4:$AO$1200,'Treatment Services Report '!A16,'SERVICE ENTRY'!$F$4:$F$1200,"Puerto Rican")+COUNTIFS('SERVICE ENTRY'!$AO$4:$AO$1200,'Treatment Services Report '!A16,'SERVICE ENTRY'!$F$4:$F$1200,"Salvadoran")+COUNTIFS('SERVICE ENTRY'!$AO$4:$AO$1200,'Treatment Services Report '!A16,'SERVICE ENTRY'!$F$4:$F$1200,"Other Hispanic/Latino/Spanish origin")</f>
        <v>0</v>
      </c>
      <c r="K16" s="269">
        <f>COUNTIFS('SERVICE ENTRY'!$AO$4:$AO$1200,'Treatment Services Report '!A16,'SERVICE ENTRY'!$F$4:$F$1200,"Not of Hispanic/Latino/Spanish origin")</f>
        <v>0</v>
      </c>
      <c r="L16" s="270">
        <f>COUNTIFS('SERVICE ENTRY'!$AO$4:$AO$1200,'Treatment Services Report '!A16,'SERVICE ENTRY'!$F$4:$F$1200,"Unknown or Other")</f>
        <v>0</v>
      </c>
      <c r="M16" s="412" t="s">
        <v>3538</v>
      </c>
      <c r="N16" s="413"/>
    </row>
    <row r="17" spans="1:14" s="54" customFormat="1" ht="15" x14ac:dyDescent="0.25">
      <c r="A17" s="264" t="s">
        <v>209</v>
      </c>
      <c r="B17" s="265">
        <f>COUNTIF('SERVICE ENTRY'!$AO$4:$AO$1200,'Treatment Services Report '!A17)</f>
        <v>0</v>
      </c>
      <c r="C17" s="266">
        <f>COUNTIFS('SERVICE ENTRY'!$AO$4:$AO$1200,'Treatment Services Report '!A17,'SERVICE ENTRY'!$G$4:$G$1200,"American Indian or Alaska Native")</f>
        <v>0</v>
      </c>
      <c r="D17" s="267">
        <f>COUNTIFS('SERVICE ENTRY'!$AO$4:$AO$1200,'Treatment Services Report '!A17,'SERVICE ENTRY'!$G$4:$G$1200,"Asian")</f>
        <v>0</v>
      </c>
      <c r="E17" s="267">
        <f>COUNTIFS('SERVICE ENTRY'!$AO$4:$AO$1200,'Treatment Services Report '!A17,'SERVICE ENTRY'!$G$4:$G$1200,"Black/African-American")</f>
        <v>0</v>
      </c>
      <c r="F17" s="267">
        <f>COUNTIFS('SERVICE ENTRY'!$AO$4:$AO$1200,'Treatment Services Report '!A17,'SERVICE ENTRY'!$G$4:$G$1200,"Middle Eastern or North African")</f>
        <v>0</v>
      </c>
      <c r="G17" s="267">
        <f>COUNTIFS('SERVICE ENTRY'!$AO$4:$AO$1200,'Treatment Services Report '!A17,'SERVICE ENTRY'!$G$4:$G$1200,"Native Hawaiian or Pacific Islander")</f>
        <v>0</v>
      </c>
      <c r="H17" s="267">
        <f>COUNTIFS('SERVICE ENTRY'!$AO$4:$AO$1200,'Treatment Services Report '!A17,'SERVICE ENTRY'!$G$4:$G$1200,"White")</f>
        <v>0</v>
      </c>
      <c r="I17" s="266">
        <f>COUNTIFS('SERVICE ENTRY'!$AO$4:$AO$1200,'Treatment Services Report '!A17,'SERVICE ENTRY'!$G$4:$G$1200,"Unknown or Other")</f>
        <v>0</v>
      </c>
      <c r="J17" s="268">
        <f>COUNTIFS('SERVICE ENTRY'!$AO$4:$AO$1200,'Treatment Services Report '!A17,'SERVICE ENTRY'!$F$4:$F$1200,"Colombian")+COUNTIFS('SERVICE ENTRY'!$AO$4:$AO$1200,'Treatment Services Report '!A17,'SERVICE ENTRY'!$F$4:$F$1200,"Cuban")+COUNTIFS('SERVICE ENTRY'!$AO$4:$AO$1200,'Treatment Services Report '!A17,'SERVICE ENTRY'!$F$4:$F$1200,"Dominican")+COUNTIFS('SERVICE ENTRY'!$AO$4:$AO$1200,'Treatment Services Report '!A17,'SERVICE ENTRY'!$F$4:$F$1200,"Mexican/Mexican-American/Chicano")+COUNTIFS('SERVICE ENTRY'!$AO$4:$AO$1200,'Treatment Services Report '!A17,'SERVICE ENTRY'!$F$4:$F$1200,"Puerto Rican")+COUNTIFS('SERVICE ENTRY'!$AO$4:$AO$1200,'Treatment Services Report '!A17,'SERVICE ENTRY'!$F$4:$F$1200,"Salvadoran")+COUNTIFS('SERVICE ENTRY'!$AO$4:$AO$1200,'Treatment Services Report '!A17,'SERVICE ENTRY'!$F$4:$F$1200,"Other Hispanic/Latino/Spanish origin")</f>
        <v>0</v>
      </c>
      <c r="K17" s="269">
        <f>COUNTIFS('SERVICE ENTRY'!$AO$4:$AO$1200,'Treatment Services Report '!A17,'SERVICE ENTRY'!$F$4:$F$1200,"Not of Hispanic/Latino/Spanish origin")</f>
        <v>0</v>
      </c>
      <c r="L17" s="270">
        <f>COUNTIFS('SERVICE ENTRY'!$AO$4:$AO$1200,'Treatment Services Report '!A17,'SERVICE ENTRY'!$F$4:$F$1200,"Unknown or Other")</f>
        <v>0</v>
      </c>
      <c r="M17" s="414"/>
      <c r="N17" s="415"/>
    </row>
    <row r="18" spans="1:14" s="54" customFormat="1" ht="15" x14ac:dyDescent="0.25">
      <c r="A18" s="264" t="s">
        <v>208</v>
      </c>
      <c r="B18" s="265">
        <f>COUNTIF('SERVICE ENTRY'!$AO$4:$AO$1200,'Treatment Services Report '!A18)</f>
        <v>0</v>
      </c>
      <c r="C18" s="266">
        <f>COUNTIFS('SERVICE ENTRY'!$AO$4:$AO$1200,'Treatment Services Report '!A18,'SERVICE ENTRY'!$G$4:$G$1200,"American Indian or Alaska Native")</f>
        <v>0</v>
      </c>
      <c r="D18" s="267">
        <f>COUNTIFS('SERVICE ENTRY'!$AO$4:$AO$1200,'Treatment Services Report '!A18,'SERVICE ENTRY'!$G$4:$G$1200,"Asian")</f>
        <v>0</v>
      </c>
      <c r="E18" s="267">
        <f>COUNTIFS('SERVICE ENTRY'!$AO$4:$AO$1200,'Treatment Services Report '!A18,'SERVICE ENTRY'!$G$4:$G$1200,"Black/African-American")</f>
        <v>0</v>
      </c>
      <c r="F18" s="267">
        <f>COUNTIFS('SERVICE ENTRY'!$AO$4:$AO$1200,'Treatment Services Report '!A18,'SERVICE ENTRY'!$G$4:$G$1200,"Middle Eastern or North African")</f>
        <v>0</v>
      </c>
      <c r="G18" s="267">
        <f>COUNTIFS('SERVICE ENTRY'!$AO$4:$AO$1200,'Treatment Services Report '!A18,'SERVICE ENTRY'!$G$4:$G$1200,"Native Hawaiian or Pacific Islander")</f>
        <v>0</v>
      </c>
      <c r="H18" s="267">
        <f>COUNTIFS('SERVICE ENTRY'!$AO$4:$AO$1200,'Treatment Services Report '!A18,'SERVICE ENTRY'!$G$4:$G$1200,"White")</f>
        <v>0</v>
      </c>
      <c r="I18" s="266">
        <f>COUNTIFS('SERVICE ENTRY'!$AO$4:$AO$1200,'Treatment Services Report '!A18,'SERVICE ENTRY'!$G$4:$G$1200,"Unknown or Other")</f>
        <v>0</v>
      </c>
      <c r="J18" s="268">
        <f>COUNTIFS('SERVICE ENTRY'!$AO$4:$AO$1200,'Treatment Services Report '!A18,'SERVICE ENTRY'!$F$4:$F$1200,"Colombian")+COUNTIFS('SERVICE ENTRY'!$AO$4:$AO$1200,'Treatment Services Report '!A18,'SERVICE ENTRY'!$F$4:$F$1200,"Cuban")+COUNTIFS('SERVICE ENTRY'!$AO$4:$AO$1200,'Treatment Services Report '!A18,'SERVICE ENTRY'!$F$4:$F$1200,"Dominican")+COUNTIFS('SERVICE ENTRY'!$AO$4:$AO$1200,'Treatment Services Report '!A18,'SERVICE ENTRY'!$F$4:$F$1200,"Mexican/Mexican-American/Chicano")+COUNTIFS('SERVICE ENTRY'!$AO$4:$AO$1200,'Treatment Services Report '!A18,'SERVICE ENTRY'!$F$4:$F$1200,"Puerto Rican")+COUNTIFS('SERVICE ENTRY'!$AO$4:$AO$1200,'Treatment Services Report '!A18,'SERVICE ENTRY'!$F$4:$F$1200,"Salvadoran")+COUNTIFS('SERVICE ENTRY'!$AO$4:$AO$1200,'Treatment Services Report '!A18,'SERVICE ENTRY'!$F$4:$F$1200,"Other Hispanic/Latino/Spanish origin")</f>
        <v>0</v>
      </c>
      <c r="K18" s="269">
        <f>COUNTIFS('SERVICE ENTRY'!$AO$4:$AO$1200,'Treatment Services Report '!A18,'SERVICE ENTRY'!$F$4:$F$1200,"Not of Hispanic/Latino/Spanish origin")</f>
        <v>0</v>
      </c>
      <c r="L18" s="270">
        <f>COUNTIFS('SERVICE ENTRY'!$AO$4:$AO$1200,'Treatment Services Report '!A18,'SERVICE ENTRY'!$F$4:$F$1200,"Unknown or Other")</f>
        <v>0</v>
      </c>
      <c r="M18" s="414"/>
      <c r="N18" s="415"/>
    </row>
    <row r="19" spans="1:14" s="54" customFormat="1" ht="15.75" thickBot="1" x14ac:dyDescent="0.3">
      <c r="A19" s="264" t="s">
        <v>210</v>
      </c>
      <c r="B19" s="265">
        <f>COUNTIF('SERVICE ENTRY'!$AO$4:$AO$1200,'Treatment Services Report '!A19)</f>
        <v>0</v>
      </c>
      <c r="C19" s="266">
        <f>COUNTIFS('SERVICE ENTRY'!$AO$4:$AO$1200,'Treatment Services Report '!A19,'SERVICE ENTRY'!$G$4:$G$1200,"American Indian or Alaska Native")</f>
        <v>0</v>
      </c>
      <c r="D19" s="267">
        <f>COUNTIFS('SERVICE ENTRY'!$AO$4:$AO$1200,'Treatment Services Report '!A19,'SERVICE ENTRY'!$G$4:$G$1200,"Asian")</f>
        <v>0</v>
      </c>
      <c r="E19" s="267">
        <f>COUNTIFS('SERVICE ENTRY'!$AO$4:$AO$1200,'Treatment Services Report '!A19,'SERVICE ENTRY'!$G$4:$G$1200,"Black/African-American")</f>
        <v>0</v>
      </c>
      <c r="F19" s="267">
        <f>COUNTIFS('SERVICE ENTRY'!$AO$4:$AO$1200,'Treatment Services Report '!A19,'SERVICE ENTRY'!$G$4:$G$1200,"Middle Eastern or North African")</f>
        <v>0</v>
      </c>
      <c r="G19" s="267">
        <f>COUNTIFS('SERVICE ENTRY'!$AO$4:$AO$1200,'Treatment Services Report '!A19,'SERVICE ENTRY'!$G$4:$G$1200,"Native Hawaiian or Pacific Islander")</f>
        <v>0</v>
      </c>
      <c r="H19" s="267">
        <f>COUNTIFS('SERVICE ENTRY'!$AO$4:$AO$1200,'Treatment Services Report '!A19,'SERVICE ENTRY'!$G$4:$G$1200,"White")</f>
        <v>0</v>
      </c>
      <c r="I19" s="266">
        <f>COUNTIFS('SERVICE ENTRY'!$AO$4:$AO$1200,'Treatment Services Report '!A19,'SERVICE ENTRY'!$G$4:$G$1200,"Unknown or Other")</f>
        <v>0</v>
      </c>
      <c r="J19" s="268">
        <f>COUNTIFS('SERVICE ENTRY'!$AO$4:$AO$1200,'Treatment Services Report '!A19,'SERVICE ENTRY'!$F$4:$F$1200,"Colombian")+COUNTIFS('SERVICE ENTRY'!$AO$4:$AO$1200,'Treatment Services Report '!A19,'SERVICE ENTRY'!$F$4:$F$1200,"Cuban")+COUNTIFS('SERVICE ENTRY'!$AO$4:$AO$1200,'Treatment Services Report '!A19,'SERVICE ENTRY'!$F$4:$F$1200,"Dominican")+COUNTIFS('SERVICE ENTRY'!$AO$4:$AO$1200,'Treatment Services Report '!A19,'SERVICE ENTRY'!$F$4:$F$1200,"Mexican/Mexican-American/Chicano")+COUNTIFS('SERVICE ENTRY'!$AO$4:$AO$1200,'Treatment Services Report '!A19,'SERVICE ENTRY'!$F$4:$F$1200,"Puerto Rican")+COUNTIFS('SERVICE ENTRY'!$AO$4:$AO$1200,'Treatment Services Report '!A19,'SERVICE ENTRY'!$F$4:$F$1200,"Salvadoran")+COUNTIFS('SERVICE ENTRY'!$AO$4:$AO$1200,'Treatment Services Report '!A19,'SERVICE ENTRY'!$F$4:$F$1200,"Other Hispanic/Latino/Spanish origin")</f>
        <v>0</v>
      </c>
      <c r="K19" s="269">
        <f>COUNTIFS('SERVICE ENTRY'!$AO$4:$AO$1200,'Treatment Services Report '!A19,'SERVICE ENTRY'!$F$4:$F$1200,"Not of Hispanic/Latino/Spanish origin")</f>
        <v>0</v>
      </c>
      <c r="L19" s="270">
        <f>COUNTIFS('SERVICE ENTRY'!$AO$4:$AO$1200,'Treatment Services Report '!A19,'SERVICE ENTRY'!$F$4:$F$1200,"Unknown or Other")</f>
        <v>0</v>
      </c>
      <c r="M19" s="416"/>
      <c r="N19" s="417"/>
    </row>
    <row r="20" spans="1:14" s="54" customFormat="1" ht="15" x14ac:dyDescent="0.25">
      <c r="A20" s="68" t="s">
        <v>211</v>
      </c>
      <c r="B20" s="106">
        <f>COUNTIF('SERVICE ENTRY'!$AO$4:$AO$1200,'Treatment Services Report '!A20)</f>
        <v>0</v>
      </c>
      <c r="C20" s="92">
        <f>COUNTIFS('SERVICE ENTRY'!$AO$4:$AO$1200,'Treatment Services Report '!A20,'SERVICE ENTRY'!$G$4:$G$1200,"American Indian or Alaska Native")</f>
        <v>0</v>
      </c>
      <c r="D20" s="42">
        <f>COUNTIFS('SERVICE ENTRY'!$AO$4:$AO$1200,'Treatment Services Report '!A20,'SERVICE ENTRY'!$G$4:$G$1200,"Asian")</f>
        <v>0</v>
      </c>
      <c r="E20" s="42">
        <f>COUNTIFS('SERVICE ENTRY'!$AO$4:$AO$1200,'Treatment Services Report '!A20,'SERVICE ENTRY'!$G$4:$G$1200,"Black/African-American")</f>
        <v>0</v>
      </c>
      <c r="F20" s="42">
        <f>COUNTIFS('SERVICE ENTRY'!$AO$4:$AO$1200,'Treatment Services Report '!A20,'SERVICE ENTRY'!$G$4:$G$1200,"Middle Eastern or North African")</f>
        <v>0</v>
      </c>
      <c r="G20" s="42">
        <f>COUNTIFS('SERVICE ENTRY'!$AO$4:$AO$1200,'Treatment Services Report '!A20,'SERVICE ENTRY'!$G$4:$G$1200,"Native Hawaiian or Pacific Islander")</f>
        <v>0</v>
      </c>
      <c r="H20" s="42">
        <f>COUNTIFS('SERVICE ENTRY'!$AO$4:$AO$1200,'Treatment Services Report '!A20,'SERVICE ENTRY'!$G$4:$G$1200,"White")</f>
        <v>0</v>
      </c>
      <c r="I20" s="92">
        <f>COUNTIFS('SERVICE ENTRY'!$AO$4:$AO$1200,'Treatment Services Report '!A20,'SERVICE ENTRY'!$G$4:$G$1200,"Unknown or Other")</f>
        <v>0</v>
      </c>
      <c r="J20" s="220">
        <f>COUNTIFS('SERVICE ENTRY'!$AO$4:$AO$1200,'Treatment Services Report '!A20,'SERVICE ENTRY'!$F$4:$F$1200,"Colombian")+COUNTIFS('SERVICE ENTRY'!$AO$4:$AO$1200,'Treatment Services Report '!A20,'SERVICE ENTRY'!$F$4:$F$1200,"Cuban")+COUNTIFS('SERVICE ENTRY'!$AO$4:$AO$1200,'Treatment Services Report '!A20,'SERVICE ENTRY'!$F$4:$F$1200,"Dominican")+COUNTIFS('SERVICE ENTRY'!$AO$4:$AO$1200,'Treatment Services Report '!A20,'SERVICE ENTRY'!$F$4:$F$1200,"Mexican/Mexican-American/Chicano")+COUNTIFS('SERVICE ENTRY'!$AO$4:$AO$1200,'Treatment Services Report '!A20,'SERVICE ENTRY'!$F$4:$F$1200,"Puerto Rican")+COUNTIFS('SERVICE ENTRY'!$AO$4:$AO$1200,'Treatment Services Report '!A20,'SERVICE ENTRY'!$F$4:$F$1200,"Salvadoran")+COUNTIFS('SERVICE ENTRY'!$AO$4:$AO$1200,'Treatment Services Report '!A20,'SERVICE ENTRY'!$F$4:$F$1200,"Other Hispanic/Latino/Spanish origin")</f>
        <v>0</v>
      </c>
      <c r="K20" s="94">
        <f>COUNTIFS('SERVICE ENTRY'!$AO$4:$AO$1200,'Treatment Services Report '!A20,'SERVICE ENTRY'!$F$4:$F$1200,"Not of Hispanic/Latino/Spanish origin")</f>
        <v>0</v>
      </c>
      <c r="L20" s="210">
        <f>COUNTIFS('SERVICE ENTRY'!$AO$4:$AO$1200,'Treatment Services Report '!A20,'SERVICE ENTRY'!$F$4:$F$1200,"Unknown or Other")</f>
        <v>0</v>
      </c>
    </row>
    <row r="21" spans="1:14" s="54" customFormat="1" ht="15" x14ac:dyDescent="0.25">
      <c r="A21" s="68" t="s">
        <v>212</v>
      </c>
      <c r="B21" s="106">
        <f>COUNTIF('SERVICE ENTRY'!$AO$4:$AO$1200,'Treatment Services Report '!A21)</f>
        <v>0</v>
      </c>
      <c r="C21" s="92">
        <f>COUNTIFS('SERVICE ENTRY'!$AO$4:$AO$1200,'Treatment Services Report '!A21,'SERVICE ENTRY'!$G$4:$G$1200,"American Indian or Alaska Native")</f>
        <v>0</v>
      </c>
      <c r="D21" s="42">
        <f>COUNTIFS('SERVICE ENTRY'!$AO$4:$AO$1200,'Treatment Services Report '!A21,'SERVICE ENTRY'!$G$4:$G$1200,"Asian")</f>
        <v>0</v>
      </c>
      <c r="E21" s="42">
        <f>COUNTIFS('SERVICE ENTRY'!$AO$4:$AO$1200,'Treatment Services Report '!A21,'SERVICE ENTRY'!$G$4:$G$1200,"Black/African-American")</f>
        <v>0</v>
      </c>
      <c r="F21" s="42">
        <f>COUNTIFS('SERVICE ENTRY'!$AO$4:$AO$1200,'Treatment Services Report '!A21,'SERVICE ENTRY'!$G$4:$G$1200,"Middle Eastern or North African")</f>
        <v>0</v>
      </c>
      <c r="G21" s="42">
        <f>COUNTIFS('SERVICE ENTRY'!$AO$4:$AO$1200,'Treatment Services Report '!A21,'SERVICE ENTRY'!$G$4:$G$1200,"Native Hawaiian or Pacific Islander")</f>
        <v>0</v>
      </c>
      <c r="H21" s="42">
        <f>COUNTIFS('SERVICE ENTRY'!$AO$4:$AO$1200,'Treatment Services Report '!A21,'SERVICE ENTRY'!$G$4:$G$1200,"White")</f>
        <v>0</v>
      </c>
      <c r="I21" s="92">
        <f>COUNTIFS('SERVICE ENTRY'!$AO$4:$AO$1200,'Treatment Services Report '!A21,'SERVICE ENTRY'!$G$4:$G$1200,"Unknown or Other")</f>
        <v>0</v>
      </c>
      <c r="J21" s="220">
        <f>COUNTIFS('SERVICE ENTRY'!$AO$4:$AO$1200,'Treatment Services Report '!A21,'SERVICE ENTRY'!$F$4:$F$1200,"Colombian")+COUNTIFS('SERVICE ENTRY'!$AO$4:$AO$1200,'Treatment Services Report '!A21,'SERVICE ENTRY'!$F$4:$F$1200,"Cuban")+COUNTIFS('SERVICE ENTRY'!$AO$4:$AO$1200,'Treatment Services Report '!A21,'SERVICE ENTRY'!$F$4:$F$1200,"Dominican")+COUNTIFS('SERVICE ENTRY'!$AO$4:$AO$1200,'Treatment Services Report '!A21,'SERVICE ENTRY'!$F$4:$F$1200,"Mexican/Mexican-American/Chicano")+COUNTIFS('SERVICE ENTRY'!$AO$4:$AO$1200,'Treatment Services Report '!A21,'SERVICE ENTRY'!$F$4:$F$1200,"Puerto Rican")+COUNTIFS('SERVICE ENTRY'!$AO$4:$AO$1200,'Treatment Services Report '!A21,'SERVICE ENTRY'!$F$4:$F$1200,"Salvadoran")+COUNTIFS('SERVICE ENTRY'!$AO$4:$AO$1200,'Treatment Services Report '!A21,'SERVICE ENTRY'!$F$4:$F$1200,"Other Hispanic/Latino/Spanish origin")</f>
        <v>0</v>
      </c>
      <c r="K21" s="94">
        <f>COUNTIFS('SERVICE ENTRY'!$AO$4:$AO$1200,'Treatment Services Report '!A21,'SERVICE ENTRY'!$F$4:$F$1200,"Not of Hispanic/Latino/Spanish origin")</f>
        <v>0</v>
      </c>
      <c r="L21" s="210">
        <f>COUNTIFS('SERVICE ENTRY'!$AO$4:$AO$1200,'Treatment Services Report '!A21,'SERVICE ENTRY'!$F$4:$F$1200,"Unknown or Other")</f>
        <v>0</v>
      </c>
    </row>
    <row r="22" spans="1:14" s="54" customFormat="1" ht="15.75" thickBot="1" x14ac:dyDescent="0.3">
      <c r="A22" s="68" t="s">
        <v>213</v>
      </c>
      <c r="B22" s="106">
        <f>COUNTIF('SERVICE ENTRY'!$AO$4:$AO$1200,'Treatment Services Report '!A22)</f>
        <v>0</v>
      </c>
      <c r="C22" s="92">
        <f>COUNTIFS('SERVICE ENTRY'!$AO$4:$AO$1200,'Treatment Services Report '!A22,'SERVICE ENTRY'!$G$4:$G$1200,"American Indian or Alaska Native")</f>
        <v>0</v>
      </c>
      <c r="D22" s="42">
        <f>COUNTIFS('SERVICE ENTRY'!$AO$4:$AO$1200,'Treatment Services Report '!A22,'SERVICE ENTRY'!$G$4:$G$1200,"Asian")</f>
        <v>0</v>
      </c>
      <c r="E22" s="42">
        <f>COUNTIFS('SERVICE ENTRY'!$AO$4:$AO$1200,'Treatment Services Report '!A22,'SERVICE ENTRY'!$G$4:$G$1200,"Black/African-American")</f>
        <v>0</v>
      </c>
      <c r="F22" s="42">
        <f>COUNTIFS('SERVICE ENTRY'!$AO$4:$AO$1200,'Treatment Services Report '!A22,'SERVICE ENTRY'!$G$4:$G$1200,"Middle Eastern or North African")</f>
        <v>0</v>
      </c>
      <c r="G22" s="42">
        <f>COUNTIFS('SERVICE ENTRY'!$AO$4:$AO$1200,'Treatment Services Report '!A22,'SERVICE ENTRY'!$G$4:$G$1200,"Native Hawaiian or Pacific Islander")</f>
        <v>0</v>
      </c>
      <c r="H22" s="42">
        <f>COUNTIFS('SERVICE ENTRY'!$AO$4:$AO$1200,'Treatment Services Report '!A22,'SERVICE ENTRY'!$G$4:$G$1200,"White")</f>
        <v>0</v>
      </c>
      <c r="I22" s="92">
        <f>COUNTIFS('SERVICE ENTRY'!$AO$4:$AO$1200,'Treatment Services Report '!A22,'SERVICE ENTRY'!$G$4:$G$1200,"Unknown or Other")</f>
        <v>0</v>
      </c>
      <c r="J22" s="220">
        <f>COUNTIFS('SERVICE ENTRY'!$AO$4:$AO$1200,'Treatment Services Report '!A22,'SERVICE ENTRY'!$F$4:$F$1200,"Colombian")+COUNTIFS('SERVICE ENTRY'!$AO$4:$AO$1200,'Treatment Services Report '!A22,'SERVICE ENTRY'!$F$4:$F$1200,"Cuban")+COUNTIFS('SERVICE ENTRY'!$AO$4:$AO$1200,'Treatment Services Report '!A22,'SERVICE ENTRY'!$F$4:$F$1200,"Dominican")+COUNTIFS('SERVICE ENTRY'!$AO$4:$AO$1200,'Treatment Services Report '!A22,'SERVICE ENTRY'!$F$4:$F$1200,"Mexican/Mexican-American/Chicano")+COUNTIFS('SERVICE ENTRY'!$AO$4:$AO$1200,'Treatment Services Report '!A22,'SERVICE ENTRY'!$F$4:$F$1200,"Puerto Rican")+COUNTIFS('SERVICE ENTRY'!$AO$4:$AO$1200,'Treatment Services Report '!A22,'SERVICE ENTRY'!$F$4:$F$1200,"Salvadoran")+COUNTIFS('SERVICE ENTRY'!$AO$4:$AO$1200,'Treatment Services Report '!A22,'SERVICE ENTRY'!$F$4:$F$1200,"Other Hispanic/Latino/Spanish origin")</f>
        <v>0</v>
      </c>
      <c r="K22" s="94">
        <f>COUNTIFS('SERVICE ENTRY'!$AO$4:$AO$1200,'Treatment Services Report '!A22,'SERVICE ENTRY'!$F$4:$F$1200,"Not of Hispanic/Latino/Spanish origin")</f>
        <v>0</v>
      </c>
      <c r="L22" s="210">
        <f>COUNTIFS('SERVICE ENTRY'!$AO$4:$AO$1200,'Treatment Services Report '!A22,'SERVICE ENTRY'!$F$4:$F$1200,"Unknown or Other")</f>
        <v>0</v>
      </c>
    </row>
    <row r="23" spans="1:14" ht="15.75" thickBot="1" x14ac:dyDescent="0.3">
      <c r="C23" s="369">
        <f>SUM(C15:I22)</f>
        <v>0</v>
      </c>
      <c r="D23" s="370"/>
      <c r="E23" s="370"/>
      <c r="F23" s="370"/>
      <c r="G23" s="370"/>
      <c r="H23" s="370"/>
      <c r="I23" s="370"/>
      <c r="J23" s="369">
        <f>SUM(J15:L22)</f>
        <v>0</v>
      </c>
      <c r="K23" s="370"/>
      <c r="L23" s="371"/>
    </row>
    <row r="26" spans="1:14" ht="59.25" customHeight="1" x14ac:dyDescent="0.2">
      <c r="A26" s="137" t="s">
        <v>144</v>
      </c>
      <c r="B26" s="149" t="s">
        <v>180</v>
      </c>
      <c r="C26" s="176" t="s">
        <v>250</v>
      </c>
      <c r="D26" s="176" t="s">
        <v>251</v>
      </c>
      <c r="E26" s="176" t="s">
        <v>246</v>
      </c>
      <c r="F26" s="176" t="s">
        <v>373</v>
      </c>
      <c r="G26" s="176" t="s">
        <v>252</v>
      </c>
      <c r="H26" s="176" t="s">
        <v>248</v>
      </c>
      <c r="I26" s="143" t="s">
        <v>388</v>
      </c>
      <c r="J26" s="145" t="s">
        <v>247</v>
      </c>
      <c r="K26" s="137" t="s">
        <v>324</v>
      </c>
      <c r="L26" s="143" t="s">
        <v>388</v>
      </c>
    </row>
    <row r="27" spans="1:14" ht="15" x14ac:dyDescent="0.25">
      <c r="A27" s="68" t="s">
        <v>74</v>
      </c>
      <c r="B27" s="106">
        <f>COUNTIF('SERVICE ENTRY'!$AP$4:$AP$1200,'Treatment Services Report '!A27)+COUNTIF('SERVICE ENTRY'!$AQ$4:$AQ$1200,'Treatment Services Report '!A27)+COUNTIF('SERVICE ENTRY'!$AR$4:$AR$1200,'Treatment Services Report '!A27)</f>
        <v>0</v>
      </c>
      <c r="C27" s="92">
        <f>COUNTIFS('SERVICE ENTRY'!$AP$4:$AP$1200,'Treatment Services Report '!A27,'SERVICE ENTRY'!$G$4:$G$1200,"American Indian or Alaska Native")+COUNTIFS('SERVICE ENTRY'!$AQ$4:$AQ$1200,'Treatment Services Report '!A27,'SERVICE ENTRY'!$G$4:$G$1200,"American Indian or Alaska Native")+COUNTIFS('SERVICE ENTRY'!$AR$4:$AR$1200,'Treatment Services Report '!A27,'SERVICE ENTRY'!$G$4:$G$1200,"American Indian or Alaska Native")</f>
        <v>0</v>
      </c>
      <c r="D27" s="42">
        <f>COUNTIFS('SERVICE ENTRY'!$AP$4:$AP$1200,'Treatment Services Report '!A27,'SERVICE ENTRY'!$G$4:$G$1200,"Asian")+COUNTIFS('SERVICE ENTRY'!$AQ$4:$AQ$1200,'Treatment Services Report '!A27,'SERVICE ENTRY'!$G$4:$G$1200,"Asian")+COUNTIFS('SERVICE ENTRY'!$AR$4:$AR$1200,'Treatment Services Report '!A27,'SERVICE ENTRY'!$G$4:$G$1200,"Asian")</f>
        <v>0</v>
      </c>
      <c r="E27" s="42">
        <f>COUNTIFS('SERVICE ENTRY'!$AP$4:$AP$1200,'Treatment Services Report '!A27,'SERVICE ENTRY'!$G$4:$G$1200,"Black/African-American")+COUNTIFS('SERVICE ENTRY'!$AQ$4:$AQ$1200,'Treatment Services Report '!A27,'SERVICE ENTRY'!$G$4:$G$1200,"Black/African-American")+COUNTIFS('SERVICE ENTRY'!$AR$4:$AR$1200,'Treatment Services Report '!A27,'SERVICE ENTRY'!$G$4:$G$1200,"Black/African-American")</f>
        <v>0</v>
      </c>
      <c r="F27" s="42">
        <f>COUNTIFS('SERVICE ENTRY'!$AP$4:$AP$1200,'Treatment Services Report '!A27,'SERVICE ENTRY'!$G$4:$G$1200,"Middle Eastern or North African")+COUNTIFS('SERVICE ENTRY'!$AQ$4:$AQ$1200,'Treatment Services Report '!A27,'SERVICE ENTRY'!$G$4:$G$1200,"Middle Eastern or North African")+COUNTIFS('SERVICE ENTRY'!$AR$4:$AR$1200,'Treatment Services Report '!A27,'SERVICE ENTRY'!$G$4:$G$1200,"Middle Eastern or North African")</f>
        <v>0</v>
      </c>
      <c r="G27" s="42">
        <f>COUNTIFS('SERVICE ENTRY'!$AP$4:$AP$1200,'Treatment Services Report '!A27,'SERVICE ENTRY'!$G$4:$G$1200,"Native Hawaiian or Pacific Islander")+COUNTIFS('SERVICE ENTRY'!$AQ$4:$AQ$1200,'Treatment Services Report '!A27,'SERVICE ENTRY'!$G$4:$G$1200,"Native Hawaiian or Pacific Islander")+COUNTIFS('SERVICE ENTRY'!$AR$4:$AR$1200,'Treatment Services Report '!A27,'SERVICE ENTRY'!$G$4:$G$1200,"Native Hawaiian or Pacific Islander")</f>
        <v>0</v>
      </c>
      <c r="H27" s="42">
        <f>COUNTIFS('SERVICE ENTRY'!$AP$4:$AP$1200,'Treatment Services Report '!A27,'SERVICE ENTRY'!$G$4:$G$1200,"White")+COUNTIFS('SERVICE ENTRY'!$AQ$4:$AQ$1200,'Treatment Services Report '!A27,'SERVICE ENTRY'!$G$4:$G$1200,"White")+COUNTIFS('SERVICE ENTRY'!$AR$4:$AR$1200,'Treatment Services Report '!A27,'SERVICE ENTRY'!$G$4:$G$1200,"White")</f>
        <v>0</v>
      </c>
      <c r="I27" s="92">
        <f>COUNTIFS('SERVICE ENTRY'!$AP$4:$AP$1200,'Treatment Services Report '!A27,'SERVICE ENTRY'!$G$4:$G$1200,"Unknown or Other")+COUNTIFS('SERVICE ENTRY'!$AQ$4:$AQ$1200,'Treatment Services Report '!A27,'SERVICE ENTRY'!$G$4:$G$1200,"Unknown or Other")+COUNTIFS('SERVICE ENTRY'!$AR$4:$AR$1200,'Treatment Services Report '!A27,'SERVICE ENTRY'!$G$4:$G$1200,"Unknown or Other")</f>
        <v>0</v>
      </c>
      <c r="J27" s="220">
        <f>COUNTIFS('SERVICE ENTRY'!$AP$4:$AP$1200,'Treatment Services Report '!A27,'SERVICE ENTRY'!$F$4:$F$1200,"Colombian")+COUNTIFS('SERVICE ENTRY'!$AQ$4:$AQ$1200,'Treatment Services Report '!A27,'SERVICE ENTRY'!$F$4:$F$1200,"Colombian")+COUNTIFS('SERVICE ENTRY'!$AR$4:$AR$1200,'Treatment Services Report '!A27,'SERVICE ENTRY'!$F$4:$F$1200,"Colombian")+COUNTIFS('SERVICE ENTRY'!$AP$4:$AP$1200,'Treatment Services Report '!A27,'SERVICE ENTRY'!$F$4:$F$1200,"Cuban")+COUNTIFS('SERVICE ENTRY'!$AQ$4:$AQ$1200,'Treatment Services Report '!A27,'SERVICE ENTRY'!$F$4:$F$1200,"Cuban")+COUNTIFS('SERVICE ENTRY'!$AR$4:$AR$1200,'Treatment Services Report '!A27,'SERVICE ENTRY'!$F$4:$F$1200,"Cuban")+COUNTIFS('SERVICE ENTRY'!$AP$4:$AP$1200,'Treatment Services Report '!A27,'SERVICE ENTRY'!$F$4:$F$1200,"Dominican")+COUNTIFS('SERVICE ENTRY'!$AQ$4:$AQ$1200,'Treatment Services Report '!A27,'SERVICE ENTRY'!$F$4:$F$1200,"Dominican")+COUNTIFS('SERVICE ENTRY'!$AR$4:$AR$1200,'Treatment Services Report '!A27,'SERVICE ENTRY'!$F$4:$F$1200,"Dominican")+COUNTIFS('SERVICE ENTRY'!$AP$4:$AP$1200,'Treatment Services Report '!A27,'SERVICE ENTRY'!$F$4:$F$1200,"Mexican/Mexican-American/Chicano")+COUNTIFS('SERVICE ENTRY'!$AQ$4:$AQ$1200,'Treatment Services Report '!A27,'SERVICE ENTRY'!$F$4:$F$1200,"Mexican/Mexican-American/Chicano")+COUNTIFS('SERVICE ENTRY'!$AR$4:$AR$1200,'Treatment Services Report '!A27,'SERVICE ENTRY'!$F$4:$F$1200,"Mexican/Mexican-American/Chicano")+COUNTIFS('SERVICE ENTRY'!$AP$4:$AP$1200,'Treatment Services Report '!A27,'SERVICE ENTRY'!$F$4:$F$1200,"Puerto Rican")+COUNTIFS('SERVICE ENTRY'!$AQ$4:$AQ$1200,'Treatment Services Report '!A27,'SERVICE ENTRY'!$F$4:$F$1200,"Puerto Rican")+COUNTIFS('SERVICE ENTRY'!$AR$4:$AR$1200,'Treatment Services Report '!A27,'SERVICE ENTRY'!$F$4:$F$1200,"Puerto Rican")+COUNTIFS('SERVICE ENTRY'!$AP$4:$AP$1200,'Treatment Services Report '!A27,'SERVICE ENTRY'!$F$4:$F$1200,"Salvadoran")+COUNTIFS('SERVICE ENTRY'!$AQ$4:$AQ$1200,'Treatment Services Report '!A27,'SERVICE ENTRY'!$F$4:$F$1200,"Salvadoran")+COUNTIFS('SERVICE ENTRY'!$AR$4:$AR$1200,'Treatment Services Report '!A27,'SERVICE ENTRY'!$F$4:$F$1200,"Salvadoran")+COUNTIFS('SERVICE ENTRY'!$AP$4:$AP$1200,'Treatment Services Report '!A27,'SERVICE ENTRY'!$F$4:$F$1200,"Other Hispanic/Latino/Spanish origin")+COUNTIFS('SERVICE ENTRY'!$AQ$4:$AQ$1200,'Treatment Services Report '!A27,'SERVICE ENTRY'!$F$4:$F$1200,"Other Hispanic/Latino/Spanish origin")+COUNTIFS('SERVICE ENTRY'!$AR$4:$AR$1200,'Treatment Services Report '!A27,'SERVICE ENTRY'!$F$4:$F$1200,"Other Hispanic/Latino/Spanish origin")</f>
        <v>0</v>
      </c>
      <c r="K27" s="94">
        <f>COUNTIFS('SERVICE ENTRY'!$AP$4:$AP$1200,'Treatment Services Report '!A27,'SERVICE ENTRY'!$F$4:$F$1200,"Not of Hispanic/Latino/Spanish origin")+COUNTIFS('SERVICE ENTRY'!$AQ$4:$AQ$1200,'Treatment Services Report '!A27,'SERVICE ENTRY'!$F$4:$F$1200,"Not of Hispanic/Latino/Spanish origin")+COUNTIFS('SERVICE ENTRY'!$AR$4:$AR$1200,'Treatment Services Report '!A27,'SERVICE ENTRY'!$F$4:$F$1200,"Not of Hispanic/Latino/Spanish origin")</f>
        <v>0</v>
      </c>
      <c r="L27" s="210">
        <f>COUNTIFS('SERVICE ENTRY'!$AP$4:$AP$1200,'Treatment Services Report '!A27,'SERVICE ENTRY'!$F$4:$F$1200,"Unknown or Other")+COUNTIFS('SERVICE ENTRY'!$AQ$4:$AQ$1200,'Treatment Services Report '!A27,'SERVICE ENTRY'!$F$4:$F$1200,"Unknown or Other")+COUNTIFS('SERVICE ENTRY'!$AR$4:$AR$1200,'Treatment Services Report '!A27,'SERVICE ENTRY'!$F$4:$F$1200,"Unknown or Other")</f>
        <v>0</v>
      </c>
    </row>
    <row r="28" spans="1:14" ht="15" x14ac:dyDescent="0.25">
      <c r="A28" s="68" t="s">
        <v>100</v>
      </c>
      <c r="B28" s="106">
        <f>COUNTIF('SERVICE ENTRY'!$AP$4:$AP$1200,'Treatment Services Report '!A28)+COUNTIF('SERVICE ENTRY'!$AQ$4:$AQ$1200,'Treatment Services Report '!A28)+COUNTIF('SERVICE ENTRY'!$AR$4:$AR$1200,'Treatment Services Report '!A28)</f>
        <v>0</v>
      </c>
      <c r="C28" s="92">
        <f>COUNTIFS('SERVICE ENTRY'!$AP$4:$AP$1200,'Treatment Services Report '!A28,'SERVICE ENTRY'!$G$4:$G$1200,"American Indian or Alaska Native")+COUNTIFS('SERVICE ENTRY'!$AQ$4:$AQ$1200,'Treatment Services Report '!A28,'SERVICE ENTRY'!$G$4:$G$1200,"American Indian or Alaska Native")+COUNTIFS('SERVICE ENTRY'!$AR$4:$AR$1200,'Treatment Services Report '!A28,'SERVICE ENTRY'!$G$4:$G$1200,"American Indian or Alaska Native")</f>
        <v>0</v>
      </c>
      <c r="D28" s="42">
        <f>COUNTIFS('SERVICE ENTRY'!$AP$4:$AP$1200,'Treatment Services Report '!A28,'SERVICE ENTRY'!$G$4:$G$1200,"Asian")+COUNTIFS('SERVICE ENTRY'!$AQ$4:$AQ$1200,'Treatment Services Report '!A28,'SERVICE ENTRY'!$G$4:$G$1200,"Asian")+COUNTIFS('SERVICE ENTRY'!$AR$4:$AR$1200,'Treatment Services Report '!A28,'SERVICE ENTRY'!$G$4:$G$1200,"Asian")</f>
        <v>0</v>
      </c>
      <c r="E28" s="42">
        <f>COUNTIFS('SERVICE ENTRY'!$AP$4:$AP$1200,'Treatment Services Report '!A28,'SERVICE ENTRY'!$G$4:$G$1200,"Black/African-American")+COUNTIFS('SERVICE ENTRY'!$AQ$4:$AQ$1200,'Treatment Services Report '!A28,'SERVICE ENTRY'!$G$4:$G$1200,"Black/African-American")+COUNTIFS('SERVICE ENTRY'!$AR$4:$AR$1200,'Treatment Services Report '!A28,'SERVICE ENTRY'!$G$4:$G$1200,"Black/African-American")</f>
        <v>0</v>
      </c>
      <c r="F28" s="42">
        <f>COUNTIFS('SERVICE ENTRY'!$AP$4:$AP$1200,'Treatment Services Report '!A28,'SERVICE ENTRY'!$G$4:$G$1200,"Middle Eastern or North African")+COUNTIFS('SERVICE ENTRY'!$AQ$4:$AQ$1200,'Treatment Services Report '!A28,'SERVICE ENTRY'!$G$4:$G$1200,"Middle Eastern or North African")+COUNTIFS('SERVICE ENTRY'!$AR$4:$AR$1200,'Treatment Services Report '!A28,'SERVICE ENTRY'!$G$4:$G$1200,"Middle Eastern or North African")</f>
        <v>0</v>
      </c>
      <c r="G28" s="42">
        <f>COUNTIFS('SERVICE ENTRY'!$AP$4:$AP$1200,'Treatment Services Report '!A28,'SERVICE ENTRY'!$G$4:$G$1200,"Native Hawaiian or Pacific Islander")+COUNTIFS('SERVICE ENTRY'!$AQ$4:$AQ$1200,'Treatment Services Report '!A28,'SERVICE ENTRY'!$G$4:$G$1200,"Native Hawaiian or Pacific Islander")+COUNTIFS('SERVICE ENTRY'!$AR$4:$AR$1200,'Treatment Services Report '!A28,'SERVICE ENTRY'!$G$4:$G$1200,"Native Hawaiian or Pacific Islander")</f>
        <v>0</v>
      </c>
      <c r="H28" s="42">
        <f>COUNTIFS('SERVICE ENTRY'!$AP$4:$AP$1200,'Treatment Services Report '!A28,'SERVICE ENTRY'!$G$4:$G$1200,"White")+COUNTIFS('SERVICE ENTRY'!$AQ$4:$AQ$1200,'Treatment Services Report '!A28,'SERVICE ENTRY'!$G$4:$G$1200,"White")+COUNTIFS('SERVICE ENTRY'!$AR$4:$AR$1200,'Treatment Services Report '!A28,'SERVICE ENTRY'!$G$4:$G$1200,"White")</f>
        <v>0</v>
      </c>
      <c r="I28" s="92">
        <f>COUNTIFS('SERVICE ENTRY'!$AP$4:$AP$1200,'Treatment Services Report '!A28,'SERVICE ENTRY'!$G$4:$G$1200,"Unknown or Other")+COUNTIFS('SERVICE ENTRY'!$AQ$4:$AQ$1200,'Treatment Services Report '!A28,'SERVICE ENTRY'!$G$4:$G$1200,"Unknown or Other")+COUNTIFS('SERVICE ENTRY'!$AR$4:$AR$1200,'Treatment Services Report '!A28,'SERVICE ENTRY'!$G$4:$G$1200,"Unknown or Other")</f>
        <v>0</v>
      </c>
      <c r="J28" s="220">
        <f>COUNTIFS('SERVICE ENTRY'!$AP$4:$AP$1200,'Treatment Services Report '!A28,'SERVICE ENTRY'!$F$4:$F$1200,"Colombian")+COUNTIFS('SERVICE ENTRY'!$AQ$4:$AQ$1200,'Treatment Services Report '!A28,'SERVICE ENTRY'!$F$4:$F$1200,"Colombian")+COUNTIFS('SERVICE ENTRY'!$AR$4:$AR$1200,'Treatment Services Report '!A28,'SERVICE ENTRY'!$F$4:$F$1200,"Colombian")+COUNTIFS('SERVICE ENTRY'!$AP$4:$AP$1200,'Treatment Services Report '!A28,'SERVICE ENTRY'!$F$4:$F$1200,"Cuban")+COUNTIFS('SERVICE ENTRY'!$AQ$4:$AQ$1200,'Treatment Services Report '!A28,'SERVICE ENTRY'!$F$4:$F$1200,"Cuban")+COUNTIFS('SERVICE ENTRY'!$AR$4:$AR$1200,'Treatment Services Report '!A28,'SERVICE ENTRY'!$F$4:$F$1200,"Cuban")+COUNTIFS('SERVICE ENTRY'!$AP$4:$AP$1200,'Treatment Services Report '!A28,'SERVICE ENTRY'!$F$4:$F$1200,"Dominican")+COUNTIFS('SERVICE ENTRY'!$AQ$4:$AQ$1200,'Treatment Services Report '!A28,'SERVICE ENTRY'!$F$4:$F$1200,"Dominican")+COUNTIFS('SERVICE ENTRY'!$AR$4:$AR$1200,'Treatment Services Report '!A28,'SERVICE ENTRY'!$F$4:$F$1200,"Dominican")+COUNTIFS('SERVICE ENTRY'!$AP$4:$AP$1200,'Treatment Services Report '!A28,'SERVICE ENTRY'!$F$4:$F$1200,"Mexican/Mexican-American/Chicano")+COUNTIFS('SERVICE ENTRY'!$AQ$4:$AQ$1200,'Treatment Services Report '!A28,'SERVICE ENTRY'!$F$4:$F$1200,"Mexican/Mexican-American/Chicano")+COUNTIFS('SERVICE ENTRY'!$AR$4:$AR$1200,'Treatment Services Report '!A28,'SERVICE ENTRY'!$F$4:$F$1200,"Mexican/Mexican-American/Chicano")+COUNTIFS('SERVICE ENTRY'!$AP$4:$AP$1200,'Treatment Services Report '!A28,'SERVICE ENTRY'!$F$4:$F$1200,"Puerto Rican")+COUNTIFS('SERVICE ENTRY'!$AQ$4:$AQ$1200,'Treatment Services Report '!A28,'SERVICE ENTRY'!$F$4:$F$1200,"Puerto Rican")+COUNTIFS('SERVICE ENTRY'!$AR$4:$AR$1200,'Treatment Services Report '!A28,'SERVICE ENTRY'!$F$4:$F$1200,"Puerto Rican")+COUNTIFS('SERVICE ENTRY'!$AP$4:$AP$1200,'Treatment Services Report '!A28,'SERVICE ENTRY'!$F$4:$F$1200,"Salvadoran")+COUNTIFS('SERVICE ENTRY'!$AQ$4:$AQ$1200,'Treatment Services Report '!A28,'SERVICE ENTRY'!$F$4:$F$1200,"Salvadoran")+COUNTIFS('SERVICE ENTRY'!$AR$4:$AR$1200,'Treatment Services Report '!A28,'SERVICE ENTRY'!$F$4:$F$1200,"Salvadoran")+COUNTIFS('SERVICE ENTRY'!$AP$4:$AP$1200,'Treatment Services Report '!A28,'SERVICE ENTRY'!$F$4:$F$1200,"Other Hispanic/Latino/Spanish origin")+COUNTIFS('SERVICE ENTRY'!$AQ$4:$AQ$1200,'Treatment Services Report '!A28,'SERVICE ENTRY'!$F$4:$F$1200,"Other Hispanic/Latino/Spanish origin")+COUNTIFS('SERVICE ENTRY'!$AR$4:$AR$1200,'Treatment Services Report '!A28,'SERVICE ENTRY'!$F$4:$F$1200,"Other Hispanic/Latino/Spanish origin")</f>
        <v>0</v>
      </c>
      <c r="K28" s="94">
        <f>COUNTIFS('SERVICE ENTRY'!$AP$4:$AP$1200,'Treatment Services Report '!A28,'SERVICE ENTRY'!$F$4:$F$1200,"Not of Hispanic/Latino/Spanish origin")+COUNTIFS('SERVICE ENTRY'!$AQ$4:$AQ$1200,'Treatment Services Report '!A28,'SERVICE ENTRY'!$F$4:$F$1200,"Not of Hispanic/Latino/Spanish origin")+COUNTIFS('SERVICE ENTRY'!$AR$4:$AR$1200,'Treatment Services Report '!A28,'SERVICE ENTRY'!$F$4:$F$1200,"Not of Hispanic/Latino/Spanish origin")</f>
        <v>0</v>
      </c>
      <c r="L28" s="210">
        <f>COUNTIFS('SERVICE ENTRY'!$AP$4:$AP$1200,'Treatment Services Report '!A28,'SERVICE ENTRY'!$F$4:$F$1200,"Unknown or Other")+COUNTIFS('SERVICE ENTRY'!$AQ$4:$AQ$1200,'Treatment Services Report '!A28,'SERVICE ENTRY'!$F$4:$F$1200,"Unknown or Other")+COUNTIFS('SERVICE ENTRY'!$AR$4:$AR$1200,'Treatment Services Report '!A28,'SERVICE ENTRY'!$F$4:$F$1200,"Unknown or Other")</f>
        <v>0</v>
      </c>
    </row>
    <row r="29" spans="1:14" ht="15" x14ac:dyDescent="0.25">
      <c r="A29" s="68" t="s">
        <v>73</v>
      </c>
      <c r="B29" s="106">
        <f>COUNTIF('SERVICE ENTRY'!$AP$4:$AP$1200,'Treatment Services Report '!A29)+COUNTIF('SERVICE ENTRY'!$AQ$4:$AQ$1200,'Treatment Services Report '!A29)+COUNTIF('SERVICE ENTRY'!$AR$4:$AR$1200,'Treatment Services Report '!A29)</f>
        <v>0</v>
      </c>
      <c r="C29" s="92">
        <f>COUNTIFS('SERVICE ENTRY'!$AP$4:$AP$1200,'Treatment Services Report '!A29,'SERVICE ENTRY'!$G$4:$G$1200,"American Indian or Alaska Native")+COUNTIFS('SERVICE ENTRY'!$AQ$4:$AQ$1200,'Treatment Services Report '!A29,'SERVICE ENTRY'!$G$4:$G$1200,"American Indian or Alaska Native")+COUNTIFS('SERVICE ENTRY'!$AR$4:$AR$1200,'Treatment Services Report '!A29,'SERVICE ENTRY'!$G$4:$G$1200,"American Indian or Alaska Native")</f>
        <v>0</v>
      </c>
      <c r="D29" s="42">
        <f>COUNTIFS('SERVICE ENTRY'!$AP$4:$AP$1200,'Treatment Services Report '!A29,'SERVICE ENTRY'!$G$4:$G$1200,"Asian")+COUNTIFS('SERVICE ENTRY'!$AQ$4:$AQ$1200,'Treatment Services Report '!A29,'SERVICE ENTRY'!$G$4:$G$1200,"Asian")+COUNTIFS('SERVICE ENTRY'!$AR$4:$AR$1200,'Treatment Services Report '!A29,'SERVICE ENTRY'!$G$4:$G$1200,"Asian")</f>
        <v>0</v>
      </c>
      <c r="E29" s="42">
        <f>COUNTIFS('SERVICE ENTRY'!$AP$4:$AP$1200,'Treatment Services Report '!A29,'SERVICE ENTRY'!$G$4:$G$1200,"Black/African-American")+COUNTIFS('SERVICE ENTRY'!$AQ$4:$AQ$1200,'Treatment Services Report '!A29,'SERVICE ENTRY'!$G$4:$G$1200,"Black/African-American")+COUNTIFS('SERVICE ENTRY'!$AR$4:$AR$1200,'Treatment Services Report '!A29,'SERVICE ENTRY'!$G$4:$G$1200,"Black/African-American")</f>
        <v>0</v>
      </c>
      <c r="F29" s="42">
        <f>COUNTIFS('SERVICE ENTRY'!$AP$4:$AP$1200,'Treatment Services Report '!A29,'SERVICE ENTRY'!$G$4:$G$1200,"Middle Eastern or North African")+COUNTIFS('SERVICE ENTRY'!$AQ$4:$AQ$1200,'Treatment Services Report '!A29,'SERVICE ENTRY'!$G$4:$G$1200,"Middle Eastern or North African")+COUNTIFS('SERVICE ENTRY'!$AR$4:$AR$1200,'Treatment Services Report '!A29,'SERVICE ENTRY'!$G$4:$G$1200,"Middle Eastern or North African")</f>
        <v>0</v>
      </c>
      <c r="G29" s="42">
        <f>COUNTIFS('SERVICE ENTRY'!$AP$4:$AP$1200,'Treatment Services Report '!A29,'SERVICE ENTRY'!$G$4:$G$1200,"Native Hawaiian or Pacific Islander")+COUNTIFS('SERVICE ENTRY'!$AQ$4:$AQ$1200,'Treatment Services Report '!A29,'SERVICE ENTRY'!$G$4:$G$1200,"Native Hawaiian or Pacific Islander")+COUNTIFS('SERVICE ENTRY'!$AR$4:$AR$1200,'Treatment Services Report '!A29,'SERVICE ENTRY'!$G$4:$G$1200,"Native Hawaiian or Pacific Islander")</f>
        <v>0</v>
      </c>
      <c r="H29" s="42">
        <f>COUNTIFS('SERVICE ENTRY'!$AP$4:$AP$1200,'Treatment Services Report '!A29,'SERVICE ENTRY'!$G$4:$G$1200,"White")+COUNTIFS('SERVICE ENTRY'!$AQ$4:$AQ$1200,'Treatment Services Report '!A29,'SERVICE ENTRY'!$G$4:$G$1200,"White")+COUNTIFS('SERVICE ENTRY'!$AR$4:$AR$1200,'Treatment Services Report '!A29,'SERVICE ENTRY'!$G$4:$G$1200,"White")</f>
        <v>0</v>
      </c>
      <c r="I29" s="92">
        <f>COUNTIFS('SERVICE ENTRY'!$AP$4:$AP$1200,'Treatment Services Report '!A29,'SERVICE ENTRY'!$G$4:$G$1200,"Unknown or Other")+COUNTIFS('SERVICE ENTRY'!$AQ$4:$AQ$1200,'Treatment Services Report '!A29,'SERVICE ENTRY'!$G$4:$G$1200,"Unknown or Other")+COUNTIFS('SERVICE ENTRY'!$AR$4:$AR$1200,'Treatment Services Report '!A29,'SERVICE ENTRY'!$G$4:$G$1200,"Unknown or Other")</f>
        <v>0</v>
      </c>
      <c r="J29" s="220">
        <f>COUNTIFS('SERVICE ENTRY'!$AP$4:$AP$1200,'Treatment Services Report '!A29,'SERVICE ENTRY'!$F$4:$F$1200,"Colombian")+COUNTIFS('SERVICE ENTRY'!$AQ$4:$AQ$1200,'Treatment Services Report '!A29,'SERVICE ENTRY'!$F$4:$F$1200,"Colombian")+COUNTIFS('SERVICE ENTRY'!$AR$4:$AR$1200,'Treatment Services Report '!A29,'SERVICE ENTRY'!$F$4:$F$1200,"Colombian")+COUNTIFS('SERVICE ENTRY'!$AP$4:$AP$1200,'Treatment Services Report '!A29,'SERVICE ENTRY'!$F$4:$F$1200,"Cuban")+COUNTIFS('SERVICE ENTRY'!$AQ$4:$AQ$1200,'Treatment Services Report '!A29,'SERVICE ENTRY'!$F$4:$F$1200,"Cuban")+COUNTIFS('SERVICE ENTRY'!$AR$4:$AR$1200,'Treatment Services Report '!A29,'SERVICE ENTRY'!$F$4:$F$1200,"Cuban")+COUNTIFS('SERVICE ENTRY'!$AP$4:$AP$1200,'Treatment Services Report '!A29,'SERVICE ENTRY'!$F$4:$F$1200,"Dominican")+COUNTIFS('SERVICE ENTRY'!$AQ$4:$AQ$1200,'Treatment Services Report '!A29,'SERVICE ENTRY'!$F$4:$F$1200,"Dominican")+COUNTIFS('SERVICE ENTRY'!$AR$4:$AR$1200,'Treatment Services Report '!A29,'SERVICE ENTRY'!$F$4:$F$1200,"Dominican")+COUNTIFS('SERVICE ENTRY'!$AP$4:$AP$1200,'Treatment Services Report '!A29,'SERVICE ENTRY'!$F$4:$F$1200,"Mexican/Mexican-American/Chicano")+COUNTIFS('SERVICE ENTRY'!$AQ$4:$AQ$1200,'Treatment Services Report '!A29,'SERVICE ENTRY'!$F$4:$F$1200,"Mexican/Mexican-American/Chicano")+COUNTIFS('SERVICE ENTRY'!$AR$4:$AR$1200,'Treatment Services Report '!A29,'SERVICE ENTRY'!$F$4:$F$1200,"Mexican/Mexican-American/Chicano")+COUNTIFS('SERVICE ENTRY'!$AP$4:$AP$1200,'Treatment Services Report '!A29,'SERVICE ENTRY'!$F$4:$F$1200,"Puerto Rican")+COUNTIFS('SERVICE ENTRY'!$AQ$4:$AQ$1200,'Treatment Services Report '!A29,'SERVICE ENTRY'!$F$4:$F$1200,"Puerto Rican")+COUNTIFS('SERVICE ENTRY'!$AR$4:$AR$1200,'Treatment Services Report '!A29,'SERVICE ENTRY'!$F$4:$F$1200,"Puerto Rican")+COUNTIFS('SERVICE ENTRY'!$AP$4:$AP$1200,'Treatment Services Report '!A29,'SERVICE ENTRY'!$F$4:$F$1200,"Salvadoran")+COUNTIFS('SERVICE ENTRY'!$AQ$4:$AQ$1200,'Treatment Services Report '!A29,'SERVICE ENTRY'!$F$4:$F$1200,"Salvadoran")+COUNTIFS('SERVICE ENTRY'!$AR$4:$AR$1200,'Treatment Services Report '!A29,'SERVICE ENTRY'!$F$4:$F$1200,"Salvadoran")+COUNTIFS('SERVICE ENTRY'!$AP$4:$AP$1200,'Treatment Services Report '!A29,'SERVICE ENTRY'!$F$4:$F$1200,"Other Hispanic/Latino/Spanish origin")+COUNTIFS('SERVICE ENTRY'!$AQ$4:$AQ$1200,'Treatment Services Report '!A29,'SERVICE ENTRY'!$F$4:$F$1200,"Other Hispanic/Latino/Spanish origin")+COUNTIFS('SERVICE ENTRY'!$AR$4:$AR$1200,'Treatment Services Report '!A29,'SERVICE ENTRY'!$F$4:$F$1200,"Other Hispanic/Latino/Spanish origin")</f>
        <v>0</v>
      </c>
      <c r="K29" s="94">
        <f>COUNTIFS('SERVICE ENTRY'!$AP$4:$AP$1200,'Treatment Services Report '!A29,'SERVICE ENTRY'!$F$4:$F$1200,"Not of Hispanic/Latino/Spanish origin")+COUNTIFS('SERVICE ENTRY'!$AQ$4:$AQ$1200,'Treatment Services Report '!A29,'SERVICE ENTRY'!$F$4:$F$1200,"Not of Hispanic/Latino/Spanish origin")+COUNTIFS('SERVICE ENTRY'!$AR$4:$AR$1200,'Treatment Services Report '!A29,'SERVICE ENTRY'!$F$4:$F$1200,"Not of Hispanic/Latino/Spanish origin")</f>
        <v>0</v>
      </c>
      <c r="L29" s="210">
        <f>COUNTIFS('SERVICE ENTRY'!$AP$4:$AP$1200,'Treatment Services Report '!A29,'SERVICE ENTRY'!$F$4:$F$1200,"Unknown or Other")+COUNTIFS('SERVICE ENTRY'!$AQ$4:$AQ$1200,'Treatment Services Report '!A29,'SERVICE ENTRY'!$F$4:$F$1200,"Unknown or Other")+COUNTIFS('SERVICE ENTRY'!$AR$4:$AR$1200,'Treatment Services Report '!A29,'SERVICE ENTRY'!$F$4:$F$1200,"Unknown or Other")</f>
        <v>0</v>
      </c>
    </row>
    <row r="30" spans="1:14" ht="15" x14ac:dyDescent="0.25">
      <c r="A30" s="68" t="s">
        <v>145</v>
      </c>
      <c r="B30" s="106">
        <f>COUNTIF('SERVICE ENTRY'!$AP$4:$AP$1200,'Treatment Services Report '!A30)+COUNTIF('SERVICE ENTRY'!$AQ$4:$AQ$1200,'Treatment Services Report '!A30)+COUNTIF('SERVICE ENTRY'!$AR$4:$AR$1200,'Treatment Services Report '!A30)</f>
        <v>0</v>
      </c>
      <c r="C30" s="92">
        <f>COUNTIFS('SERVICE ENTRY'!$AP$4:$AP$1200,'Treatment Services Report '!A30,'SERVICE ENTRY'!$G$4:$G$1200,"American Indian or Alaska Native")+COUNTIFS('SERVICE ENTRY'!$AQ$4:$AQ$1200,'Treatment Services Report '!A30,'SERVICE ENTRY'!$G$4:$G$1200,"American Indian or Alaska Native")+COUNTIFS('SERVICE ENTRY'!$AR$4:$AR$1200,'Treatment Services Report '!A30,'SERVICE ENTRY'!$G$4:$G$1200,"American Indian or Alaska Native")</f>
        <v>0</v>
      </c>
      <c r="D30" s="42">
        <f>COUNTIFS('SERVICE ENTRY'!$AP$4:$AP$1200,'Treatment Services Report '!A30,'SERVICE ENTRY'!$G$4:$G$1200,"Asian")+COUNTIFS('SERVICE ENTRY'!$AQ$4:$AQ$1200,'Treatment Services Report '!A30,'SERVICE ENTRY'!$G$4:$G$1200,"Asian")+COUNTIFS('SERVICE ENTRY'!$AR$4:$AR$1200,'Treatment Services Report '!A30,'SERVICE ENTRY'!$G$4:$G$1200,"Asian")</f>
        <v>0</v>
      </c>
      <c r="E30" s="42">
        <f>COUNTIFS('SERVICE ENTRY'!$AP$4:$AP$1200,'Treatment Services Report '!A30,'SERVICE ENTRY'!$G$4:$G$1200,"Black/African-American")+COUNTIFS('SERVICE ENTRY'!$AQ$4:$AQ$1200,'Treatment Services Report '!A30,'SERVICE ENTRY'!$G$4:$G$1200,"Black/African-American")+COUNTIFS('SERVICE ENTRY'!$AR$4:$AR$1200,'Treatment Services Report '!A30,'SERVICE ENTRY'!$G$4:$G$1200,"Black/African-American")</f>
        <v>0</v>
      </c>
      <c r="F30" s="42">
        <f>COUNTIFS('SERVICE ENTRY'!$AP$4:$AP$1200,'Treatment Services Report '!A30,'SERVICE ENTRY'!$G$4:$G$1200,"Middle Eastern or North African")+COUNTIFS('SERVICE ENTRY'!$AQ$4:$AQ$1200,'Treatment Services Report '!A30,'SERVICE ENTRY'!$G$4:$G$1200,"Middle Eastern or North African")+COUNTIFS('SERVICE ENTRY'!$AR$4:$AR$1200,'Treatment Services Report '!A30,'SERVICE ENTRY'!$G$4:$G$1200,"Middle Eastern or North African")</f>
        <v>0</v>
      </c>
      <c r="G30" s="42">
        <f>COUNTIFS('SERVICE ENTRY'!$AP$4:$AP$1200,'Treatment Services Report '!A30,'SERVICE ENTRY'!$G$4:$G$1200,"Native Hawaiian or Pacific Islander")+COUNTIFS('SERVICE ENTRY'!$AQ$4:$AQ$1200,'Treatment Services Report '!A30,'SERVICE ENTRY'!$G$4:$G$1200,"Native Hawaiian or Pacific Islander")+COUNTIFS('SERVICE ENTRY'!$AR$4:$AR$1200,'Treatment Services Report '!A30,'SERVICE ENTRY'!$G$4:$G$1200,"Native Hawaiian or Pacific Islander")</f>
        <v>0</v>
      </c>
      <c r="H30" s="42">
        <f>COUNTIFS('SERVICE ENTRY'!$AP$4:$AP$1200,'Treatment Services Report '!A30,'SERVICE ENTRY'!$G$4:$G$1200,"White")+COUNTIFS('SERVICE ENTRY'!$AQ$4:$AQ$1200,'Treatment Services Report '!A30,'SERVICE ENTRY'!$G$4:$G$1200,"White")+COUNTIFS('SERVICE ENTRY'!$AR$4:$AR$1200,'Treatment Services Report '!A30,'SERVICE ENTRY'!$G$4:$G$1200,"White")</f>
        <v>0</v>
      </c>
      <c r="I30" s="92">
        <f>COUNTIFS('SERVICE ENTRY'!$AP$4:$AP$1200,'Treatment Services Report '!A30,'SERVICE ENTRY'!$G$4:$G$1200,"Unknown or Other")+COUNTIFS('SERVICE ENTRY'!$AQ$4:$AQ$1200,'Treatment Services Report '!A30,'SERVICE ENTRY'!$G$4:$G$1200,"Unknown or Other")+COUNTIFS('SERVICE ENTRY'!$AR$4:$AR$1200,'Treatment Services Report '!A30,'SERVICE ENTRY'!$G$4:$G$1200,"Unknown or Other")</f>
        <v>0</v>
      </c>
      <c r="J30" s="220">
        <f>COUNTIFS('SERVICE ENTRY'!$AP$4:$AP$1200,'Treatment Services Report '!A30,'SERVICE ENTRY'!$F$4:$F$1200,"Colombian")+COUNTIFS('SERVICE ENTRY'!$AQ$4:$AQ$1200,'Treatment Services Report '!A30,'SERVICE ENTRY'!$F$4:$F$1200,"Colombian")+COUNTIFS('SERVICE ENTRY'!$AR$4:$AR$1200,'Treatment Services Report '!A30,'SERVICE ENTRY'!$F$4:$F$1200,"Colombian")+COUNTIFS('SERVICE ENTRY'!$AP$4:$AP$1200,'Treatment Services Report '!A30,'SERVICE ENTRY'!$F$4:$F$1200,"Cuban")+COUNTIFS('SERVICE ENTRY'!$AQ$4:$AQ$1200,'Treatment Services Report '!A30,'SERVICE ENTRY'!$F$4:$F$1200,"Cuban")+COUNTIFS('SERVICE ENTRY'!$AR$4:$AR$1200,'Treatment Services Report '!A30,'SERVICE ENTRY'!$F$4:$F$1200,"Cuban")+COUNTIFS('SERVICE ENTRY'!$AP$4:$AP$1200,'Treatment Services Report '!A30,'SERVICE ENTRY'!$F$4:$F$1200,"Dominican")+COUNTIFS('SERVICE ENTRY'!$AQ$4:$AQ$1200,'Treatment Services Report '!A30,'SERVICE ENTRY'!$F$4:$F$1200,"Dominican")+COUNTIFS('SERVICE ENTRY'!$AR$4:$AR$1200,'Treatment Services Report '!A30,'SERVICE ENTRY'!$F$4:$F$1200,"Dominican")+COUNTIFS('SERVICE ENTRY'!$AP$4:$AP$1200,'Treatment Services Report '!A30,'SERVICE ENTRY'!$F$4:$F$1200,"Mexican/Mexican-American/Chicano")+COUNTIFS('SERVICE ENTRY'!$AQ$4:$AQ$1200,'Treatment Services Report '!A30,'SERVICE ENTRY'!$F$4:$F$1200,"Mexican/Mexican-American/Chicano")+COUNTIFS('SERVICE ENTRY'!$AR$4:$AR$1200,'Treatment Services Report '!A30,'SERVICE ENTRY'!$F$4:$F$1200,"Mexican/Mexican-American/Chicano")+COUNTIFS('SERVICE ENTRY'!$AP$4:$AP$1200,'Treatment Services Report '!A30,'SERVICE ENTRY'!$F$4:$F$1200,"Puerto Rican")+COUNTIFS('SERVICE ENTRY'!$AQ$4:$AQ$1200,'Treatment Services Report '!A30,'SERVICE ENTRY'!$F$4:$F$1200,"Puerto Rican")+COUNTIFS('SERVICE ENTRY'!$AR$4:$AR$1200,'Treatment Services Report '!A30,'SERVICE ENTRY'!$F$4:$F$1200,"Puerto Rican")+COUNTIFS('SERVICE ENTRY'!$AP$4:$AP$1200,'Treatment Services Report '!A30,'SERVICE ENTRY'!$F$4:$F$1200,"Salvadoran")+COUNTIFS('SERVICE ENTRY'!$AQ$4:$AQ$1200,'Treatment Services Report '!A30,'SERVICE ENTRY'!$F$4:$F$1200,"Salvadoran")+COUNTIFS('SERVICE ENTRY'!$AR$4:$AR$1200,'Treatment Services Report '!A30,'SERVICE ENTRY'!$F$4:$F$1200,"Salvadoran")+COUNTIFS('SERVICE ENTRY'!$AP$4:$AP$1200,'Treatment Services Report '!A30,'SERVICE ENTRY'!$F$4:$F$1200,"Other Hispanic/Latino/Spanish origin")+COUNTIFS('SERVICE ENTRY'!$AQ$4:$AQ$1200,'Treatment Services Report '!A30,'SERVICE ENTRY'!$F$4:$F$1200,"Other Hispanic/Latino/Spanish origin")+COUNTIFS('SERVICE ENTRY'!$AR$4:$AR$1200,'Treatment Services Report '!A30,'SERVICE ENTRY'!$F$4:$F$1200,"Other Hispanic/Latino/Spanish origin")</f>
        <v>0</v>
      </c>
      <c r="K30" s="94">
        <f>COUNTIFS('SERVICE ENTRY'!$AP$4:$AP$1200,'Treatment Services Report '!A30,'SERVICE ENTRY'!$F$4:$F$1200,"Not of Hispanic/Latino/Spanish origin")+COUNTIFS('SERVICE ENTRY'!$AQ$4:$AQ$1200,'Treatment Services Report '!A30,'SERVICE ENTRY'!$F$4:$F$1200,"Not of Hispanic/Latino/Spanish origin")+COUNTIFS('SERVICE ENTRY'!$AR$4:$AR$1200,'Treatment Services Report '!A30,'SERVICE ENTRY'!$F$4:$F$1200,"Not of Hispanic/Latino/Spanish origin")</f>
        <v>0</v>
      </c>
      <c r="L30" s="210">
        <f>COUNTIFS('SERVICE ENTRY'!$AP$4:$AP$1200,'Treatment Services Report '!A30,'SERVICE ENTRY'!$F$4:$F$1200,"Unknown or Other")+COUNTIFS('SERVICE ENTRY'!$AQ$4:$AQ$1200,'Treatment Services Report '!A30,'SERVICE ENTRY'!$F$4:$F$1200,"Unknown or Other")+COUNTIFS('SERVICE ENTRY'!$AR$4:$AR$1200,'Treatment Services Report '!A30,'SERVICE ENTRY'!$F$4:$F$1200,"Unknown or Other")</f>
        <v>0</v>
      </c>
    </row>
    <row r="31" spans="1:14" ht="15.75" thickBot="1" x14ac:dyDescent="0.3">
      <c r="A31" s="113" t="s">
        <v>146</v>
      </c>
      <c r="B31" s="106">
        <f>COUNTIF('SERVICE ENTRY'!$AP$4:$AP$1200,'Treatment Services Report '!A31)+COUNTIF('SERVICE ENTRY'!$AQ$4:$AQ$1200,'Treatment Services Report '!A31)+COUNTIF('SERVICE ENTRY'!$AR$4:$AR$1200,'Treatment Services Report '!A31)</f>
        <v>0</v>
      </c>
      <c r="C31" s="115">
        <f>COUNTIFS('SERVICE ENTRY'!$AP$4:$AP$1200,'Treatment Services Report '!A31,'SERVICE ENTRY'!$G$4:$G$1200,"American Indian or Alaska Native")+COUNTIFS('SERVICE ENTRY'!$AQ$4:$AQ$1200,'Treatment Services Report '!A31,'SERVICE ENTRY'!$G$4:$G$1200,"American Indian or Alaska Native")+COUNTIFS('SERVICE ENTRY'!$AR$4:$AR$1200,'Treatment Services Report '!A31,'SERVICE ENTRY'!$G$4:$G$1200,"American Indian or Alaska Native")</f>
        <v>0</v>
      </c>
      <c r="D31" s="99">
        <f>COUNTIFS('SERVICE ENTRY'!$AP$4:$AP$1200,'Treatment Services Report '!A31,'SERVICE ENTRY'!$G$4:$G$1200,"Asian")+COUNTIFS('SERVICE ENTRY'!$AQ$4:$AQ$1200,'Treatment Services Report '!A31,'SERVICE ENTRY'!$G$4:$G$1200,"Asian")+COUNTIFS('SERVICE ENTRY'!$AR$4:$AR$1200,'Treatment Services Report '!A31,'SERVICE ENTRY'!$G$4:$G$1200,"Asian")</f>
        <v>0</v>
      </c>
      <c r="E31" s="99">
        <f>COUNTIFS('SERVICE ENTRY'!$AP$4:$AP$1200,'Treatment Services Report '!A31,'SERVICE ENTRY'!$G$4:$G$1200,"Black/African-American")+COUNTIFS('SERVICE ENTRY'!$AQ$4:$AQ$1200,'Treatment Services Report '!A31,'SERVICE ENTRY'!$G$4:$G$1200,"Black/African-American")+COUNTIFS('SERVICE ENTRY'!$AR$4:$AR$1200,'Treatment Services Report '!A31,'SERVICE ENTRY'!$G$4:$G$1200,"Black/African-American")</f>
        <v>0</v>
      </c>
      <c r="F31" s="99">
        <f>COUNTIFS('SERVICE ENTRY'!$AP$4:$AP$1200,'Treatment Services Report '!A31,'SERVICE ENTRY'!$G$4:$G$1200,"Middle Eastern or North African")+COUNTIFS('SERVICE ENTRY'!$AQ$4:$AQ$1200,'Treatment Services Report '!A31,'SERVICE ENTRY'!$G$4:$G$1200,"Middle Eastern or North African")+COUNTIFS('SERVICE ENTRY'!$AR$4:$AR$1200,'Treatment Services Report '!A31,'SERVICE ENTRY'!$G$4:$G$1200,"Middle Eastern or North African")</f>
        <v>0</v>
      </c>
      <c r="G31" s="99">
        <f>COUNTIFS('SERVICE ENTRY'!$AP$4:$AP$1200,'Treatment Services Report '!A31,'SERVICE ENTRY'!$G$4:$G$1200,"Native Hawaiian or Pacific Islander")+COUNTIFS('SERVICE ENTRY'!$AQ$4:$AQ$1200,'Treatment Services Report '!A31,'SERVICE ENTRY'!$G$4:$G$1200,"Native Hawaiian or Pacific Islander")+COUNTIFS('SERVICE ENTRY'!$AR$4:$AR$1200,'Treatment Services Report '!A31,'SERVICE ENTRY'!$G$4:$G$1200,"Native Hawaiian or Pacific Islander")</f>
        <v>0</v>
      </c>
      <c r="H31" s="99">
        <f>COUNTIFS('SERVICE ENTRY'!$AP$4:$AP$1200,'Treatment Services Report '!A31,'SERVICE ENTRY'!$G$4:$G$1200,"White")+COUNTIFS('SERVICE ENTRY'!$AQ$4:$AQ$1200,'Treatment Services Report '!A31,'SERVICE ENTRY'!$G$4:$G$1200,"White")+COUNTIFS('SERVICE ENTRY'!$AR$4:$AR$1200,'Treatment Services Report '!A31,'SERVICE ENTRY'!$G$4:$G$1200,"White")</f>
        <v>0</v>
      </c>
      <c r="I31" s="115">
        <f>COUNTIFS('SERVICE ENTRY'!$AP$4:$AP$1200,'Treatment Services Report '!A31,'SERVICE ENTRY'!$G$4:$G$1200,"Unknown or Other")+COUNTIFS('SERVICE ENTRY'!$AQ$4:$AQ$1200,'Treatment Services Report '!A31,'SERVICE ENTRY'!$G$4:$G$1200,"Unknown or Other")+COUNTIFS('SERVICE ENTRY'!$AR$4:$AR$1200,'Treatment Services Report '!A31,'SERVICE ENTRY'!$G$4:$G$1200,"Unknown or Other")</f>
        <v>0</v>
      </c>
      <c r="J31" s="223">
        <f>COUNTIFS('SERVICE ENTRY'!$AP$4:$AP$1200,'Treatment Services Report '!A31,'SERVICE ENTRY'!$F$4:$F$1200,"Colombian")+COUNTIFS('SERVICE ENTRY'!$AQ$4:$AQ$1200,'Treatment Services Report '!A31,'SERVICE ENTRY'!$F$4:$F$1200,"Colombian")+COUNTIFS('SERVICE ENTRY'!$AR$4:$AR$1200,'Treatment Services Report '!A31,'SERVICE ENTRY'!$F$4:$F$1200,"Colombian")+COUNTIFS('SERVICE ENTRY'!$AP$4:$AP$1200,'Treatment Services Report '!A31,'SERVICE ENTRY'!$F$4:$F$1200,"Cuban")+COUNTIFS('SERVICE ENTRY'!$AQ$4:$AQ$1200,'Treatment Services Report '!A31,'SERVICE ENTRY'!$F$4:$F$1200,"Cuban")+COUNTIFS('SERVICE ENTRY'!$AR$4:$AR$1200,'Treatment Services Report '!A31,'SERVICE ENTRY'!$F$4:$F$1200,"Cuban")+COUNTIFS('SERVICE ENTRY'!$AP$4:$AP$1200,'Treatment Services Report '!A31,'SERVICE ENTRY'!$F$4:$F$1200,"Dominican")+COUNTIFS('SERVICE ENTRY'!$AQ$4:$AQ$1200,'Treatment Services Report '!A31,'SERVICE ENTRY'!$F$4:$F$1200,"Dominican")+COUNTIFS('SERVICE ENTRY'!$AR$4:$AR$1200,'Treatment Services Report '!A31,'SERVICE ENTRY'!$F$4:$F$1200,"Dominican")+COUNTIFS('SERVICE ENTRY'!$AP$4:$AP$1200,'Treatment Services Report '!A31,'SERVICE ENTRY'!$F$4:$F$1200,"Mexican/Mexican-American/Chicano")+COUNTIFS('SERVICE ENTRY'!$AQ$4:$AQ$1200,'Treatment Services Report '!A31,'SERVICE ENTRY'!$F$4:$F$1200,"Mexican/Mexican-American/Chicano")+COUNTIFS('SERVICE ENTRY'!$AR$4:$AR$1200,'Treatment Services Report '!A31,'SERVICE ENTRY'!$F$4:$F$1200,"Mexican/Mexican-American/Chicano")+COUNTIFS('SERVICE ENTRY'!$AP$4:$AP$1200,'Treatment Services Report '!A31,'SERVICE ENTRY'!$F$4:$F$1200,"Puerto Rican")+COUNTIFS('SERVICE ENTRY'!$AQ$4:$AQ$1200,'Treatment Services Report '!A31,'SERVICE ENTRY'!$F$4:$F$1200,"Puerto Rican")+COUNTIFS('SERVICE ENTRY'!$AR$4:$AR$1200,'Treatment Services Report '!A31,'SERVICE ENTRY'!$F$4:$F$1200,"Puerto Rican")+COUNTIFS('SERVICE ENTRY'!$AP$4:$AP$1200,'Treatment Services Report '!A31,'SERVICE ENTRY'!$F$4:$F$1200,"Salvadoran")+COUNTIFS('SERVICE ENTRY'!$AQ$4:$AQ$1200,'Treatment Services Report '!A31,'SERVICE ENTRY'!$F$4:$F$1200,"Salvadoran")+COUNTIFS('SERVICE ENTRY'!$AR$4:$AR$1200,'Treatment Services Report '!A31,'SERVICE ENTRY'!$F$4:$F$1200,"Salvadoran")+COUNTIFS('SERVICE ENTRY'!$AP$4:$AP$1200,'Treatment Services Report '!A31,'SERVICE ENTRY'!$F$4:$F$1200,"Other Hispanic/Latino/Spanish origin")+COUNTIFS('SERVICE ENTRY'!$AQ$4:$AQ$1200,'Treatment Services Report '!A31,'SERVICE ENTRY'!$F$4:$F$1200,"Other Hispanic/Latino/Spanish origin")+COUNTIFS('SERVICE ENTRY'!$AR$4:$AR$1200,'Treatment Services Report '!A31,'SERVICE ENTRY'!$F$4:$F$1200,"Other Hispanic/Latino/Spanish origin")</f>
        <v>0</v>
      </c>
      <c r="K31" s="222">
        <f>COUNTIFS('SERVICE ENTRY'!$AP$4:$AP$1200,'Treatment Services Report '!A31,'SERVICE ENTRY'!$F$4:$F$1200,"Not of Hispanic/Latino/Spanish origin")+COUNTIFS('SERVICE ENTRY'!$AQ$4:$AQ$1200,'Treatment Services Report '!A31,'SERVICE ENTRY'!$F$4:$F$1200,"Not of Hispanic/Latino/Spanish origin")+COUNTIFS('SERVICE ENTRY'!$AR$4:$AR$1200,'Treatment Services Report '!A31,'SERVICE ENTRY'!$F$4:$F$1200,"Not of Hispanic/Latino/Spanish origin")</f>
        <v>0</v>
      </c>
      <c r="L31" s="234">
        <f>COUNTIFS('SERVICE ENTRY'!$AP$4:$AP$1200,'Treatment Services Report '!A31,'SERVICE ENTRY'!$F$4:$F$1200,"Unknown or Other")+COUNTIFS('SERVICE ENTRY'!$AQ$4:$AQ$1200,'Treatment Services Report '!A31,'SERVICE ENTRY'!$F$4:$F$1200,"Unknown or Other")+COUNTIFS('SERVICE ENTRY'!$AR$4:$AR$1200,'Treatment Services Report '!A31,'SERVICE ENTRY'!$F$4:$F$1200,"Unknown or Other")</f>
        <v>0</v>
      </c>
    </row>
    <row r="32" spans="1:14" ht="15.75" thickBot="1" x14ac:dyDescent="0.3">
      <c r="A32" s="365" t="s">
        <v>267</v>
      </c>
      <c r="B32" s="367">
        <f>SUM(B26:B31)</f>
        <v>0</v>
      </c>
      <c r="C32" s="198">
        <f>SUM(C27:C31)</f>
        <v>0</v>
      </c>
      <c r="D32" s="215">
        <f t="shared" ref="D32:L32" si="1">SUM(D27:D31)</f>
        <v>0</v>
      </c>
      <c r="E32" s="215">
        <f t="shared" si="1"/>
        <v>0</v>
      </c>
      <c r="F32" s="215">
        <f t="shared" si="1"/>
        <v>0</v>
      </c>
      <c r="G32" s="215">
        <f t="shared" si="1"/>
        <v>0</v>
      </c>
      <c r="H32" s="215">
        <f t="shared" si="1"/>
        <v>0</v>
      </c>
      <c r="I32" s="217">
        <f t="shared" si="1"/>
        <v>0</v>
      </c>
      <c r="J32" s="198">
        <f t="shared" si="1"/>
        <v>0</v>
      </c>
      <c r="K32" s="215">
        <f t="shared" si="1"/>
        <v>0</v>
      </c>
      <c r="L32" s="216">
        <f t="shared" si="1"/>
        <v>0</v>
      </c>
    </row>
    <row r="33" spans="1:12" ht="27.75" customHeight="1" thickBot="1" x14ac:dyDescent="0.3">
      <c r="A33" s="366"/>
      <c r="B33" s="368"/>
      <c r="C33" s="372">
        <f>SUM(C32:I32)</f>
        <v>0</v>
      </c>
      <c r="D33" s="373"/>
      <c r="E33" s="373"/>
      <c r="F33" s="373"/>
      <c r="G33" s="373"/>
      <c r="H33" s="373"/>
      <c r="I33" s="373"/>
      <c r="J33" s="372">
        <f>SUM(J32:L32)</f>
        <v>0</v>
      </c>
      <c r="K33" s="373"/>
      <c r="L33" s="374"/>
    </row>
    <row r="36" spans="1:12" ht="48" customHeight="1" x14ac:dyDescent="0.2">
      <c r="A36" s="147" t="s">
        <v>334</v>
      </c>
      <c r="B36" s="149" t="s">
        <v>335</v>
      </c>
      <c r="C36" s="176" t="s">
        <v>250</v>
      </c>
      <c r="D36" s="176" t="s">
        <v>251</v>
      </c>
      <c r="E36" s="176" t="s">
        <v>246</v>
      </c>
      <c r="F36" s="176" t="s">
        <v>373</v>
      </c>
      <c r="G36" s="176" t="s">
        <v>252</v>
      </c>
      <c r="H36" s="176" t="s">
        <v>248</v>
      </c>
      <c r="I36" s="143" t="s">
        <v>388</v>
      </c>
      <c r="J36" s="145" t="s">
        <v>247</v>
      </c>
      <c r="K36" s="147" t="s">
        <v>324</v>
      </c>
      <c r="L36" s="143" t="s">
        <v>388</v>
      </c>
    </row>
    <row r="37" spans="1:12" ht="18" customHeight="1" x14ac:dyDescent="0.25">
      <c r="A37" s="68" t="s">
        <v>62</v>
      </c>
      <c r="B37" s="106">
        <f>COUNTIF('SERVICE ENTRY'!$AS$4:$AS$1200,'Treatment Services Report '!A37)</f>
        <v>0</v>
      </c>
      <c r="C37" s="92">
        <f>COUNTIFS('SERVICE ENTRY'!$AS$4:$AS$1200,'Treatment Services Report '!A37,'SERVICE ENTRY'!$G$4:$G$1200,"American Indian or Alaska Native")</f>
        <v>0</v>
      </c>
      <c r="D37" s="42">
        <f>COUNTIFS('SERVICE ENTRY'!$AS$4:$AS$1200,'Treatment Services Report '!A37,'SERVICE ENTRY'!$G$4:$G$1200,"Asian")</f>
        <v>0</v>
      </c>
      <c r="E37" s="42">
        <f>COUNTIFS('SERVICE ENTRY'!$AS$4:$AS$1200,'Treatment Services Report '!A37,'SERVICE ENTRY'!$G$4:$G$1200,"Black/African-American")</f>
        <v>0</v>
      </c>
      <c r="F37" s="42">
        <f>COUNTIFS('SERVICE ENTRY'!$AS$4:$AS$1200,'Treatment Services Report '!A37,'SERVICE ENTRY'!$G$4:$G$1200,"Middle Eastern or North African")</f>
        <v>0</v>
      </c>
      <c r="G37" s="42">
        <f>COUNTIFS('SERVICE ENTRY'!$AS$4:$AS$1200,'Treatment Services Report '!A37,'SERVICE ENTRY'!$G$4:$G$1200,"Native Hawaiian or Pacific Islander")</f>
        <v>0</v>
      </c>
      <c r="H37" s="42">
        <f>COUNTIFS('SERVICE ENTRY'!$AS$4:$AS$1200,'Treatment Services Report '!A37,'SERVICE ENTRY'!$G$4:$G$1200,"White")</f>
        <v>0</v>
      </c>
      <c r="I37" s="92">
        <f>COUNTIFS('SERVICE ENTRY'!$AS$4:$AS$1200,'Treatment Services Report '!A37,'SERVICE ENTRY'!$G$4:$G$1200,"Unknown or Other")</f>
        <v>0</v>
      </c>
      <c r="J37" s="220">
        <f>COUNTIFS('SERVICE ENTRY'!$AS$4:$AS$1200,'Treatment Services Report '!A37,'SERVICE ENTRY'!$F$4:$F$1200,"Colombian")+COUNTIFS('SERVICE ENTRY'!$AS$4:$AS$1200,'Treatment Services Report '!A37,'SERVICE ENTRY'!$F$4:$F$1200,"Cuban")+COUNTIFS('SERVICE ENTRY'!$AS$4:$AS$1200,'Treatment Services Report '!A37,'SERVICE ENTRY'!$F$4:$F$1200,"Dominican")+COUNTIFS('SERVICE ENTRY'!$AS$4:$AS$1200,'Treatment Services Report '!A37,'SERVICE ENTRY'!$F$4:$F$1200,"Mexican/Mexican-American/Chicano")+COUNTIFS('SERVICE ENTRY'!$AS$4:$AS$1200,'Treatment Services Report '!A37,'SERVICE ENTRY'!$F$4:$F$1200,"Puerto Rican")+COUNTIFS('SERVICE ENTRY'!$AS$4:$AS$1200,'Treatment Services Report '!A37,'SERVICE ENTRY'!$F$4:$F$1200,"Salvadoran")+COUNTIFS('SERVICE ENTRY'!$AS$4:$AS$1200,'Treatment Services Report '!A37,'SERVICE ENTRY'!$F$4:$F$1200,"Other Hispanic/Latino/Spanish origin")</f>
        <v>0</v>
      </c>
      <c r="K37" s="94">
        <f>COUNTIFS('SERVICE ENTRY'!$AS$4:$AS$1200,'Treatment Services Report '!A37,'SERVICE ENTRY'!$F$4:$F$1200,"Not of Hispanic/Latino/Spanish origin")</f>
        <v>0</v>
      </c>
      <c r="L37" s="32">
        <f>COUNTIFS('SERVICE ENTRY'!$AS$4:$AS$1200,'Treatment Services Report '!A37,'SERVICE ENTRY'!$F$4:$F$1200,"Unknown or Other")</f>
        <v>0</v>
      </c>
    </row>
    <row r="38" spans="1:12" ht="18" customHeight="1" x14ac:dyDescent="0.25">
      <c r="A38" s="68" t="s">
        <v>83</v>
      </c>
      <c r="B38" s="106">
        <f>COUNTIF('SERVICE ENTRY'!$AS$4:$AS$1200,'Treatment Services Report '!A38)</f>
        <v>0</v>
      </c>
      <c r="C38" s="92">
        <f>COUNTIFS('SERVICE ENTRY'!$AS$4:$AS$1200,'Treatment Services Report '!A38,'SERVICE ENTRY'!$G$4:$G$1200,"American Indian or Alaska Native")</f>
        <v>0</v>
      </c>
      <c r="D38" s="42">
        <f>COUNTIFS('SERVICE ENTRY'!$AS$4:$AS$1200,'Treatment Services Report '!A38,'SERVICE ENTRY'!$G$4:$G$1200,"Asian")</f>
        <v>0</v>
      </c>
      <c r="E38" s="42">
        <f>COUNTIFS('SERVICE ENTRY'!$AS$4:$AS$1200,'Treatment Services Report '!A38,'SERVICE ENTRY'!$G$4:$G$1200,"Black/African-American")</f>
        <v>0</v>
      </c>
      <c r="F38" s="42">
        <f>COUNTIFS('SERVICE ENTRY'!$AS$4:$AS$1200,'Treatment Services Report '!A38,'SERVICE ENTRY'!$G$4:$G$1200,"Middle Eastern or North African")</f>
        <v>0</v>
      </c>
      <c r="G38" s="42">
        <f>COUNTIFS('SERVICE ENTRY'!$AS$4:$AS$1200,'Treatment Services Report '!A38,'SERVICE ENTRY'!$G$4:$G$1200,"Native Hawaiian or Pacific Islander")</f>
        <v>0</v>
      </c>
      <c r="H38" s="42">
        <f>COUNTIFS('SERVICE ENTRY'!$AS$4:$AS$1200,'Treatment Services Report '!A38,'SERVICE ENTRY'!$G$4:$G$1200,"White")</f>
        <v>0</v>
      </c>
      <c r="I38" s="92">
        <f>COUNTIFS('SERVICE ENTRY'!$AS$4:$AS$1200,'Treatment Services Report '!A38,'SERVICE ENTRY'!$G$4:$G$1200,"Unknown or Other")</f>
        <v>0</v>
      </c>
      <c r="J38" s="220">
        <f>COUNTIFS('SERVICE ENTRY'!$AS$4:$AS$1200,'Treatment Services Report '!A38,'SERVICE ENTRY'!$F$4:$F$1200,"Colombian")+COUNTIFS('SERVICE ENTRY'!$AS$4:$AS$1200,'Treatment Services Report '!A38,'SERVICE ENTRY'!$F$4:$F$1200,"Cuban")+COUNTIFS('SERVICE ENTRY'!$AS$4:$AS$1200,'Treatment Services Report '!A38,'SERVICE ENTRY'!$F$4:$F$1200,"Dominican")+COUNTIFS('SERVICE ENTRY'!$AS$4:$AS$1200,'Treatment Services Report '!A38,'SERVICE ENTRY'!$F$4:$F$1200,"Mexican/Mexican-American/Chicano")+COUNTIFS('SERVICE ENTRY'!$AS$4:$AS$1200,'Treatment Services Report '!A38,'SERVICE ENTRY'!$F$4:$F$1200,"Puerto Rican")+COUNTIFS('SERVICE ENTRY'!$AS$4:$AS$1200,'Treatment Services Report '!A38,'SERVICE ENTRY'!$F$4:$F$1200,"Salvadoran")+COUNTIFS('SERVICE ENTRY'!$AS$4:$AS$1200,'Treatment Services Report '!A38,'SERVICE ENTRY'!$F$4:$F$1200,"Other Hispanic/Latino/Spanish origin")</f>
        <v>0</v>
      </c>
      <c r="K38" s="94">
        <f>COUNTIFS('SERVICE ENTRY'!$AS$4:$AS$1200,'Treatment Services Report '!A38,'SERVICE ENTRY'!$F$4:$F$1200,"Not of Hispanic/Latino/Spanish origin")</f>
        <v>0</v>
      </c>
      <c r="L38" s="32">
        <f>COUNTIFS('SERVICE ENTRY'!$AS$4:$AS$1200,'Treatment Services Report '!A38,'SERVICE ENTRY'!$F$4:$F$1200,"Unknown or Other")</f>
        <v>0</v>
      </c>
    </row>
    <row r="39" spans="1:12" ht="16.5" customHeight="1" thickBot="1" x14ac:dyDescent="0.3">
      <c r="A39" s="68" t="s">
        <v>122</v>
      </c>
      <c r="B39" s="106">
        <f>COUNTIF('SERVICE ENTRY'!$AS$4:$AS$1200,'Treatment Services Report '!A39)</f>
        <v>0</v>
      </c>
      <c r="C39" s="92">
        <f>COUNTIFS('SERVICE ENTRY'!$AS$4:$AS$1200,'Treatment Services Report '!A39,'SERVICE ENTRY'!$G$4:$G$1200,"American Indian or Alaska Native")</f>
        <v>0</v>
      </c>
      <c r="D39" s="42">
        <f>COUNTIFS('SERVICE ENTRY'!$AS$4:$AS$1200,'Treatment Services Report '!A39,'SERVICE ENTRY'!$G$4:$G$1200,"Asian")</f>
        <v>0</v>
      </c>
      <c r="E39" s="42">
        <f>COUNTIFS('SERVICE ENTRY'!$AS$4:$AS$1200,'Treatment Services Report '!A39,'SERVICE ENTRY'!$G$4:$G$1200,"Black/African-American")</f>
        <v>0</v>
      </c>
      <c r="F39" s="42">
        <f>COUNTIFS('SERVICE ENTRY'!$AS$4:$AS$1200,'Treatment Services Report '!A39,'SERVICE ENTRY'!$G$4:$G$1200,"Middle Eastern or North African")</f>
        <v>0</v>
      </c>
      <c r="G39" s="42">
        <f>COUNTIFS('SERVICE ENTRY'!$AS$4:$AS$1200,'Treatment Services Report '!A39,'SERVICE ENTRY'!$G$4:$G$1200,"Native Hawaiian or Pacific Islander")</f>
        <v>0</v>
      </c>
      <c r="H39" s="42">
        <f>COUNTIFS('SERVICE ENTRY'!$AS$4:$AS$1200,'Treatment Services Report '!A39,'SERVICE ENTRY'!$G$4:$G$1200,"White")</f>
        <v>0</v>
      </c>
      <c r="I39" s="92">
        <f>COUNTIFS('SERVICE ENTRY'!$AS$4:$AS$1200,'Treatment Services Report '!A39,'SERVICE ENTRY'!$G$4:$G$1200,"Unknown or Other")</f>
        <v>0</v>
      </c>
      <c r="J39" s="220">
        <f>COUNTIFS('SERVICE ENTRY'!$AS$4:$AS$1200,'Treatment Services Report '!A39,'SERVICE ENTRY'!$F$4:$F$1200,"Colombian")+COUNTIFS('SERVICE ENTRY'!$AS$4:$AS$1200,'Treatment Services Report '!A39,'SERVICE ENTRY'!$F$4:$F$1200,"Cuban")+COUNTIFS('SERVICE ENTRY'!$AS$4:$AS$1200,'Treatment Services Report '!A39,'SERVICE ENTRY'!$F$4:$F$1200,"Dominican")+COUNTIFS('SERVICE ENTRY'!$AS$4:$AS$1200,'Treatment Services Report '!A39,'SERVICE ENTRY'!$F$4:$F$1200,"Mexican/Mexican-American/Chicano")+COUNTIFS('SERVICE ENTRY'!$AS$4:$AS$1200,'Treatment Services Report '!A39,'SERVICE ENTRY'!$F$4:$F$1200,"Puerto Rican")+COUNTIFS('SERVICE ENTRY'!$AS$4:$AS$1200,'Treatment Services Report '!A39,'SERVICE ENTRY'!$F$4:$F$1200,"Salvadoran")+COUNTIFS('SERVICE ENTRY'!$AS$4:$AS$1200,'Treatment Services Report '!A39,'SERVICE ENTRY'!$F$4:$F$1200,"Other Hispanic/Latino/Spanish origin")</f>
        <v>0</v>
      </c>
      <c r="K39" s="94">
        <f>COUNTIFS('SERVICE ENTRY'!$AS$4:$AS$1200,'Treatment Services Report '!A39,'SERVICE ENTRY'!$F$4:$F$1200,"Not of Hispanic/Latino/Spanish origin")</f>
        <v>0</v>
      </c>
      <c r="L39" s="32">
        <f>COUNTIFS('SERVICE ENTRY'!$AS$4:$AS$1200,'Treatment Services Report '!A39,'SERVICE ENTRY'!$F$4:$F$1200,"Unknown or Other")</f>
        <v>0</v>
      </c>
    </row>
    <row r="40" spans="1:12" ht="15.75" thickBot="1" x14ac:dyDescent="0.3">
      <c r="C40" s="369">
        <f>SUM(C37:I39)</f>
        <v>0</v>
      </c>
      <c r="D40" s="370"/>
      <c r="E40" s="370"/>
      <c r="F40" s="370"/>
      <c r="G40" s="370"/>
      <c r="H40" s="370"/>
      <c r="I40" s="370"/>
      <c r="J40" s="404">
        <f>SUM(J37:L39)</f>
        <v>0</v>
      </c>
      <c r="K40" s="405"/>
      <c r="L40" s="406"/>
    </row>
    <row r="41" spans="1:12" ht="33" customHeight="1" x14ac:dyDescent="0.2"/>
  </sheetData>
  <sheetProtection algorithmName="SHA-512" hashValue="g7ZkZ1atKodnG7aLKMmelia2G70Yzbqg2i2AaSBHlAw7tMS+2Gu5X1t9b9gr2sVZy5KgtdsNVxaQuzwl1xnP/A==" saltValue="YGGbHGJH6b7HbQnsLuN07Q==" spinCount="100000" sheet="1" objects="1" scenarios="1"/>
  <mergeCells count="17">
    <mergeCell ref="M16:N19"/>
    <mergeCell ref="A1:L1"/>
    <mergeCell ref="A2:L2"/>
    <mergeCell ref="J3:L3"/>
    <mergeCell ref="C3:I3"/>
    <mergeCell ref="C40:I40"/>
    <mergeCell ref="J40:L40"/>
    <mergeCell ref="C23:I23"/>
    <mergeCell ref="J23:L23"/>
    <mergeCell ref="A10:A11"/>
    <mergeCell ref="B10:B11"/>
    <mergeCell ref="C11:I11"/>
    <mergeCell ref="J11:L11"/>
    <mergeCell ref="A32:A33"/>
    <mergeCell ref="B32:B33"/>
    <mergeCell ref="C33:I33"/>
    <mergeCell ref="J33:L3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59999389629810485"/>
  </sheetPr>
  <dimension ref="A1:J37"/>
  <sheetViews>
    <sheetView zoomScale="80" zoomScaleNormal="80" workbookViewId="0">
      <selection activeCell="E12" sqref="E12"/>
    </sheetView>
  </sheetViews>
  <sheetFormatPr defaultRowHeight="14.25" x14ac:dyDescent="0.2"/>
  <cols>
    <col min="1" max="1" width="36.28515625" style="16" customWidth="1"/>
    <col min="2" max="2" width="33" style="16" customWidth="1"/>
    <col min="3" max="3" width="23.140625" style="16" customWidth="1"/>
    <col min="4" max="4" width="21.85546875" style="16" customWidth="1"/>
    <col min="5" max="8" width="21.42578125" style="15" customWidth="1"/>
    <col min="9" max="9" width="40" style="15" customWidth="1"/>
    <col min="10" max="10" width="29.5703125" style="15" customWidth="1"/>
    <col min="11" max="16384" width="9.140625" style="3"/>
  </cols>
  <sheetData>
    <row r="1" spans="1:10" ht="37.5" customHeight="1" x14ac:dyDescent="0.2">
      <c r="A1" s="296" t="s">
        <v>331</v>
      </c>
      <c r="B1" s="297"/>
      <c r="C1" s="15"/>
      <c r="D1" s="15"/>
      <c r="E1" s="3"/>
      <c r="F1" s="3"/>
      <c r="G1" s="3"/>
      <c r="H1" s="3"/>
      <c r="I1" s="3"/>
      <c r="J1" s="3"/>
    </row>
    <row r="2" spans="1:10" ht="37.5" customHeight="1" x14ac:dyDescent="0.2">
      <c r="A2" s="153" t="s">
        <v>255</v>
      </c>
      <c r="B2" s="423" t="s">
        <v>182</v>
      </c>
      <c r="C2" s="15"/>
      <c r="D2" s="15"/>
      <c r="E2" s="3"/>
      <c r="F2" s="3"/>
      <c r="G2" s="3"/>
      <c r="H2" s="3"/>
      <c r="I2" s="3"/>
      <c r="J2" s="3"/>
    </row>
    <row r="3" spans="1:10" s="54" customFormat="1" ht="45" customHeight="1" x14ac:dyDescent="0.2">
      <c r="A3" s="5" t="s">
        <v>181</v>
      </c>
      <c r="B3" s="424"/>
    </row>
    <row r="4" spans="1:10" s="54" customFormat="1" ht="45" x14ac:dyDescent="0.25">
      <c r="A4" s="68" t="s">
        <v>101</v>
      </c>
      <c r="B4" s="237">
        <f>COUNTIF('SERVICE ENTRY'!$AT$4:$AT$1200,'Treatment Support Report '!A4)+COUNTIF('SERVICE ENTRY'!$AU$4:$AU$1200,'Treatment Support Report '!A4)+COUNTIF('SERVICE ENTRY'!$AV$4:$AV$1200,'Treatment Support Report '!A4)</f>
        <v>0</v>
      </c>
    </row>
    <row r="5" spans="1:10" s="54" customFormat="1" ht="36.75" customHeight="1" x14ac:dyDescent="0.25">
      <c r="A5" s="68" t="s">
        <v>102</v>
      </c>
      <c r="B5" s="237">
        <f>COUNTIF('SERVICE ENTRY'!$AT$4:$AT$1200,'Treatment Support Report '!A5)+COUNTIF('SERVICE ENTRY'!$AU$4:$AU$1200,'Treatment Support Report '!A5)+COUNTIF('SERVICE ENTRY'!$AV$4:$AV$1200,'Treatment Support Report '!A5)</f>
        <v>0</v>
      </c>
      <c r="C5" s="16"/>
      <c r="D5" s="16"/>
    </row>
    <row r="6" spans="1:10" s="54" customFormat="1" ht="36" customHeight="1" x14ac:dyDescent="0.25">
      <c r="A6" s="68" t="s">
        <v>103</v>
      </c>
      <c r="B6" s="237">
        <f>COUNTIF('SERVICE ENTRY'!$AT$4:$AT$1200,'Treatment Support Report '!A6)+COUNTIF('SERVICE ENTRY'!$AU$4:$AU$1200,'Treatment Support Report '!A6)+COUNTIF('SERVICE ENTRY'!$AV$4:$AV$1200,'Treatment Support Report '!A6)</f>
        <v>0</v>
      </c>
      <c r="C6" s="16"/>
      <c r="D6" s="16"/>
    </row>
    <row r="7" spans="1:10" s="54" customFormat="1" ht="30" x14ac:dyDescent="0.25">
      <c r="A7" s="68" t="s">
        <v>147</v>
      </c>
      <c r="B7" s="237">
        <f>COUNTIF('SERVICE ENTRY'!$AT$4:$AT$1200,'Treatment Support Report '!A7)+COUNTIF('SERVICE ENTRY'!$AU$4:$AU$1200,'Treatment Support Report '!A7)+COUNTIF('SERVICE ENTRY'!$AV$4:$AV$1200,'Treatment Support Report '!A7)</f>
        <v>0</v>
      </c>
      <c r="C7" s="16"/>
      <c r="D7" s="16"/>
    </row>
    <row r="8" spans="1:10" s="54" customFormat="1" ht="25.5" customHeight="1" x14ac:dyDescent="0.25">
      <c r="A8" s="68" t="s">
        <v>148</v>
      </c>
      <c r="B8" s="237">
        <f>COUNTIF('SERVICE ENTRY'!$AT$4:$AT$1200,'Treatment Support Report '!A8)+COUNTIF('SERVICE ENTRY'!$AU$4:$AU$1200,'Treatment Support Report '!A8)+COUNTIF('SERVICE ENTRY'!$AV$4:$AV$1200,'Treatment Support Report '!A8)</f>
        <v>0</v>
      </c>
      <c r="C8" s="16"/>
      <c r="D8" s="16"/>
    </row>
    <row r="9" spans="1:10" s="54" customFormat="1" ht="38.25" customHeight="1" thickBot="1" x14ac:dyDescent="0.3">
      <c r="A9" s="113" t="s">
        <v>351</v>
      </c>
      <c r="B9" s="238">
        <f>COUNTIF('SERVICE ENTRY'!$AT$4:$AT$1200,'Treatment Support Report '!A9)+COUNTIF('SERVICE ENTRY'!$AU$4:$AU$1200,'Treatment Support Report '!A9)+COUNTIF('SERVICE ENTRY'!$AV$4:$AV$1200,'Treatment Support Report '!A9)</f>
        <v>0</v>
      </c>
      <c r="C9" s="16"/>
      <c r="D9" s="16"/>
    </row>
    <row r="10" spans="1:10" s="54" customFormat="1" ht="29.25" customHeight="1" x14ac:dyDescent="0.25">
      <c r="A10" s="69" t="s">
        <v>266</v>
      </c>
      <c r="B10" s="97">
        <f>SUM(B4:B9)</f>
        <v>0</v>
      </c>
      <c r="C10" s="16"/>
      <c r="D10" s="16"/>
    </row>
    <row r="11" spans="1:10" s="54" customFormat="1" x14ac:dyDescent="0.2">
      <c r="A11" s="16"/>
      <c r="B11" s="16"/>
      <c r="C11" s="16"/>
      <c r="D11" s="16"/>
      <c r="E11" s="15"/>
      <c r="F11" s="15"/>
      <c r="G11" s="15"/>
      <c r="H11" s="15"/>
      <c r="I11" s="16"/>
      <c r="J11" s="16"/>
    </row>
    <row r="12" spans="1:10" s="54" customFormat="1" x14ac:dyDescent="0.2">
      <c r="A12" s="16"/>
      <c r="B12" s="16"/>
      <c r="C12" s="16"/>
      <c r="D12" s="16"/>
      <c r="E12" s="15"/>
      <c r="F12" s="15"/>
      <c r="G12" s="15"/>
      <c r="H12" s="15"/>
      <c r="I12" s="16"/>
      <c r="J12" s="16"/>
    </row>
    <row r="13" spans="1:10" s="54" customFormat="1" x14ac:dyDescent="0.2">
      <c r="A13" s="16"/>
      <c r="B13" s="16"/>
      <c r="C13" s="16"/>
      <c r="D13" s="16"/>
      <c r="E13" s="15"/>
      <c r="F13" s="15"/>
      <c r="G13" s="15"/>
      <c r="H13" s="15"/>
      <c r="I13" s="16"/>
      <c r="J13" s="16"/>
    </row>
    <row r="14" spans="1:10" s="54" customFormat="1" x14ac:dyDescent="0.2">
      <c r="A14" s="16"/>
      <c r="B14" s="16"/>
      <c r="C14" s="16"/>
      <c r="D14" s="16"/>
      <c r="E14" s="15"/>
      <c r="F14" s="15"/>
      <c r="G14" s="15"/>
      <c r="H14" s="15"/>
      <c r="I14" s="16"/>
      <c r="J14" s="16"/>
    </row>
    <row r="15" spans="1:10" s="54" customFormat="1" x14ac:dyDescent="0.2">
      <c r="A15" s="16"/>
      <c r="B15" s="16"/>
      <c r="C15" s="16"/>
      <c r="D15" s="16"/>
      <c r="E15" s="15"/>
      <c r="F15" s="15"/>
      <c r="G15" s="15"/>
      <c r="H15" s="15"/>
      <c r="I15" s="16"/>
      <c r="J15" s="16"/>
    </row>
    <row r="16" spans="1:10" s="54" customFormat="1" x14ac:dyDescent="0.2">
      <c r="A16" s="16"/>
      <c r="B16" s="16"/>
      <c r="C16" s="16"/>
      <c r="D16" s="16"/>
      <c r="E16" s="15"/>
      <c r="F16" s="15"/>
      <c r="G16" s="15"/>
      <c r="H16" s="15"/>
      <c r="I16" s="16"/>
      <c r="J16" s="16"/>
    </row>
    <row r="19" spans="1:4" ht="59.25" customHeight="1" x14ac:dyDescent="0.2"/>
    <row r="28" spans="1:4" s="15" customFormat="1" ht="14.25" customHeight="1" x14ac:dyDescent="0.2">
      <c r="A28" s="16"/>
      <c r="B28" s="16"/>
      <c r="C28" s="16"/>
      <c r="D28" s="16"/>
    </row>
    <row r="29" spans="1:4" s="15" customFormat="1" ht="14.25" customHeight="1" x14ac:dyDescent="0.2">
      <c r="A29" s="16"/>
      <c r="B29" s="16"/>
      <c r="C29" s="16"/>
      <c r="D29" s="16"/>
    </row>
    <row r="30" spans="1:4" s="15" customFormat="1" x14ac:dyDescent="0.2">
      <c r="A30" s="16"/>
      <c r="B30" s="16"/>
      <c r="C30" s="16"/>
      <c r="D30" s="16"/>
    </row>
    <row r="31" spans="1:4" s="15" customFormat="1" x14ac:dyDescent="0.2">
      <c r="A31" s="16"/>
      <c r="B31" s="16"/>
      <c r="C31" s="16"/>
      <c r="D31" s="16"/>
    </row>
    <row r="32" spans="1:4" s="15" customFormat="1" ht="40.5" customHeight="1" x14ac:dyDescent="0.2">
      <c r="A32" s="16"/>
      <c r="B32" s="16"/>
      <c r="C32" s="16"/>
      <c r="D32" s="16"/>
    </row>
    <row r="33" spans="1:4" s="15" customFormat="1" ht="42" customHeight="1" x14ac:dyDescent="0.2">
      <c r="A33" s="16"/>
      <c r="B33" s="16"/>
      <c r="C33" s="16"/>
      <c r="D33" s="16"/>
    </row>
    <row r="34" spans="1:4" s="15" customFormat="1" ht="44.25" customHeight="1" x14ac:dyDescent="0.2">
      <c r="A34" s="16"/>
      <c r="B34" s="16"/>
      <c r="C34" s="16"/>
      <c r="D34" s="16"/>
    </row>
    <row r="35" spans="1:4" s="15" customFormat="1" ht="42.75" customHeight="1" x14ac:dyDescent="0.2">
      <c r="A35" s="16"/>
      <c r="B35" s="16"/>
      <c r="C35" s="16"/>
      <c r="D35" s="16"/>
    </row>
    <row r="36" spans="1:4" s="15" customFormat="1" x14ac:dyDescent="0.2">
      <c r="A36" s="16"/>
      <c r="B36" s="16"/>
      <c r="C36" s="16"/>
      <c r="D36" s="16"/>
    </row>
    <row r="37" spans="1:4" s="15" customFormat="1" ht="33" customHeight="1" x14ac:dyDescent="0.2">
      <c r="A37" s="16"/>
      <c r="B37" s="16"/>
      <c r="C37" s="16"/>
      <c r="D37" s="16"/>
    </row>
  </sheetData>
  <sheetProtection algorithmName="SHA-512" hashValue="UBUnAWq5aV69JxVfYrz4zLi234YVRv90QyQZMzeQ4WQ6PoF8get2bOwd9wNSrU3BOGI7cANTfoxKW4JzhTGN+w==" saltValue="jMPeqeofMamdfout1vCtVQ==" spinCount="100000" sheet="1" objects="1" scenarios="1"/>
  <mergeCells count="2">
    <mergeCell ref="A1:B1"/>
    <mergeCell ref="B2:B3"/>
  </mergeCells>
  <dataValidations count="1">
    <dataValidation type="list" allowBlank="1" showInputMessage="1" showErrorMessage="1" sqref="A4:A6 A8:A9">
      <formula1>"Symptom management (e.g. anti-nausea meds or lymphedema therapy), Psychosocial support - Group, Psychosocial support - Individual, Complementary &amp; Integrative therapies, Palliative care, Durable medical equipment (e.g. lymphedema sleeves)"</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sheetPr>
  <dimension ref="A1:L20"/>
  <sheetViews>
    <sheetView zoomScale="70" zoomScaleNormal="70" workbookViewId="0">
      <selection activeCell="K26" sqref="K26"/>
    </sheetView>
  </sheetViews>
  <sheetFormatPr defaultRowHeight="14.25" x14ac:dyDescent="0.2"/>
  <cols>
    <col min="1" max="1" width="36.85546875" style="15" bestFit="1" customWidth="1"/>
    <col min="2" max="2" width="18.28515625" style="15" customWidth="1"/>
    <col min="3" max="3" width="18.140625" style="15" customWidth="1"/>
    <col min="4" max="4" width="16.42578125" style="15" customWidth="1"/>
    <col min="5" max="5" width="16.5703125" style="15" customWidth="1"/>
    <col min="6" max="7" width="16.85546875" style="15" customWidth="1"/>
    <col min="8" max="9" width="15.7109375" style="15" customWidth="1"/>
    <col min="10" max="10" width="17.28515625" style="15" customWidth="1"/>
    <col min="11" max="11" width="15.85546875" style="3" customWidth="1"/>
    <col min="12" max="12" width="15.5703125" style="3" customWidth="1"/>
    <col min="13" max="16384" width="9.140625" style="3"/>
  </cols>
  <sheetData>
    <row r="1" spans="1:12" ht="29.25" customHeight="1" x14ac:dyDescent="0.2">
      <c r="A1" s="425" t="s">
        <v>85</v>
      </c>
      <c r="B1" s="426"/>
      <c r="C1" s="426"/>
      <c r="D1" s="426"/>
      <c r="E1" s="426"/>
      <c r="F1" s="426"/>
      <c r="G1" s="426"/>
      <c r="H1" s="426"/>
      <c r="I1" s="426"/>
      <c r="J1" s="426"/>
      <c r="K1" s="426"/>
      <c r="L1" s="426"/>
    </row>
    <row r="2" spans="1:12" ht="37.5" customHeight="1" x14ac:dyDescent="0.2">
      <c r="A2" s="425"/>
      <c r="B2" s="426"/>
      <c r="C2" s="426"/>
      <c r="D2" s="426"/>
      <c r="E2" s="426"/>
      <c r="F2" s="426"/>
      <c r="G2" s="426"/>
      <c r="H2" s="426"/>
      <c r="I2" s="426"/>
      <c r="J2" s="426"/>
      <c r="K2" s="426"/>
      <c r="L2" s="426"/>
    </row>
    <row r="3" spans="1:12" ht="37.5" customHeight="1" x14ac:dyDescent="0.2">
      <c r="A3" s="128" t="s">
        <v>255</v>
      </c>
      <c r="B3" s="128" t="s">
        <v>254</v>
      </c>
      <c r="C3" s="430" t="s">
        <v>326</v>
      </c>
      <c r="D3" s="431"/>
      <c r="E3" s="431"/>
      <c r="F3" s="431"/>
      <c r="G3" s="431"/>
      <c r="H3" s="431"/>
      <c r="I3" s="432"/>
      <c r="J3" s="427" t="s">
        <v>327</v>
      </c>
      <c r="K3" s="428"/>
      <c r="L3" s="429"/>
    </row>
    <row r="4" spans="1:12" ht="75.75" customHeight="1" x14ac:dyDescent="0.2">
      <c r="A4" s="27" t="s">
        <v>352</v>
      </c>
      <c r="B4" s="111" t="s">
        <v>253</v>
      </c>
      <c r="C4" s="6" t="s">
        <v>250</v>
      </c>
      <c r="D4" s="6" t="s">
        <v>251</v>
      </c>
      <c r="E4" s="6" t="s">
        <v>246</v>
      </c>
      <c r="F4" s="6" t="s">
        <v>373</v>
      </c>
      <c r="G4" s="6" t="s">
        <v>252</v>
      </c>
      <c r="H4" s="6" t="s">
        <v>248</v>
      </c>
      <c r="I4" s="200" t="s">
        <v>389</v>
      </c>
      <c r="J4" s="112" t="s">
        <v>256</v>
      </c>
      <c r="K4" s="27" t="s">
        <v>325</v>
      </c>
      <c r="L4" s="6" t="s">
        <v>389</v>
      </c>
    </row>
    <row r="5" spans="1:12" s="54" customFormat="1" ht="36.75" customHeight="1" x14ac:dyDescent="0.25">
      <c r="A5" s="68" t="s">
        <v>353</v>
      </c>
      <c r="B5" s="106">
        <f>COUNTIF('SERVICE ENTRY'!$AW$4:$AW$1200,'Barriers Reduction Report'!A5)+COUNTIF('SERVICE ENTRY'!$AX$4:$AX$1200,'Barriers Reduction Report'!A5)+COUNTIF('SERVICE ENTRY'!$AY$4:$AY$1200,'Barriers Reduction Report'!A5)+COUNTIF('SERVICE ENTRY'!$AZ$4:$AZ$1200,'Barriers Reduction Report'!A5)+COUNTIF('SERVICE ENTRY'!$BA$4:$BA$1200,'Barriers Reduction Report'!A5)</f>
        <v>0</v>
      </c>
      <c r="C5" s="92">
        <f>COUNTIFS('SERVICE ENTRY'!$AW$4:$AW$1200,'Barriers Reduction Report'!A5,'SERVICE ENTRY'!$G$4:$G$1200,"American Indian or Alaska Native")+COUNTIFS('SERVICE ENTRY'!$AX$4:$AX$1200,'Barriers Reduction Report'!A5,'SERVICE ENTRY'!$G$4:$G$1200,"American Indian or Alaska Native")+COUNTIFS('SERVICE ENTRY'!$AY$4:$AY$1200,'Barriers Reduction Report'!A5,'SERVICE ENTRY'!$G$4:$G$1200,"American Indian or Alaska Native")+COUNTIFS('SERVICE ENTRY'!$AZ$4:$AZ$1200,'Barriers Reduction Report'!A5,'SERVICE ENTRY'!$G$4:$G$1200,"American Indian or Alaska Native")+COUNTIFS('SERVICE ENTRY'!$BA$4:$BA$1200,'Barriers Reduction Report'!A5,'SERVICE ENTRY'!$G$4:$G$1200,"American Indian or Alaska Native")</f>
        <v>0</v>
      </c>
      <c r="D5" s="42">
        <f>COUNTIFS('SERVICE ENTRY'!$AW$4:$AW$1200,'Barriers Reduction Report'!A5,'SERVICE ENTRY'!$G$4:$G$1200,"Asian")+COUNTIFS('SERVICE ENTRY'!$AX$4:$AX$1200,'Barriers Reduction Report'!A5,'SERVICE ENTRY'!$G$4:$G$1200,"Asian")+COUNTIFS('SERVICE ENTRY'!$AY$4:$AY$1200,'Barriers Reduction Report'!A5,'SERVICE ENTRY'!$G$4:$G$1200,"Asian")+COUNTIFS('SERVICE ENTRY'!$AZ$4:$AZ$1200,'Barriers Reduction Report'!A5,'SERVICE ENTRY'!$G$4:$G$1200,"Asian")+COUNTIFS('SERVICE ENTRY'!$BA$4:$BA$1200,'Barriers Reduction Report'!A5,'SERVICE ENTRY'!$G$4:$G$1200,"Asian")</f>
        <v>0</v>
      </c>
      <c r="E5" s="42">
        <f>COUNTIFS('SERVICE ENTRY'!$AW$4:$AW$1200,'Barriers Reduction Report'!A5,'SERVICE ENTRY'!$G$4:$G$1200,"Black/African-American")+COUNTIFS('SERVICE ENTRY'!$AX$4:$AX$1200,'Barriers Reduction Report'!A5,'SERVICE ENTRY'!$G$4:$G$1200,"Black/African-American")+COUNTIFS('SERVICE ENTRY'!$AY$4:$AY$1200,'Barriers Reduction Report'!A5,'SERVICE ENTRY'!$G$4:$G$1200,"Black/African-American")+COUNTIFS('SERVICE ENTRY'!$AZ$4:$AZ$1200,'Barriers Reduction Report'!A5,'SERVICE ENTRY'!$G$4:$G$1200,"Black/African-American")+COUNTIFS('SERVICE ENTRY'!$BA$4:$BA$1200,'Barriers Reduction Report'!A5,'SERVICE ENTRY'!$G$4:$G$1200,"Black/African-American")</f>
        <v>0</v>
      </c>
      <c r="F5" s="42">
        <f>COUNTIFS('SERVICE ENTRY'!$AW$4:$AW$1200,'Barriers Reduction Report'!A5,'SERVICE ENTRY'!$G$4:$G$1200,"Middle Eastern or North African")+COUNTIFS('SERVICE ENTRY'!$AX$4:$AX$1200,'Barriers Reduction Report'!A5,'SERVICE ENTRY'!$G$4:$G$1200,"Middle Eastern or North African")+COUNTIFS('SERVICE ENTRY'!$AY$4:$AY$1200,'Barriers Reduction Report'!A5,'SERVICE ENTRY'!$G$4:$G$1200,"Middle Eastern or North African")+COUNTIFS('SERVICE ENTRY'!$AZ$4:$AZ$1200,'Barriers Reduction Report'!A5,'SERVICE ENTRY'!$G$4:$G$1200,"Middle Eastern or North African")+COUNTIFS('SERVICE ENTRY'!$BA$4:$BA$1200,'Barriers Reduction Report'!A5,'SERVICE ENTRY'!$G$4:$G$1200,"Middle Eastern or North African")</f>
        <v>0</v>
      </c>
      <c r="G5" s="100">
        <f>COUNTIFS('SERVICE ENTRY'!$AW$4:$AW$1200,'Barriers Reduction Report'!A5,'SERVICE ENTRY'!$G$4:$G$1200,"Native Hawaiian or Pacific Islander")+COUNTIFS('SERVICE ENTRY'!$AX$4:$AX$1200,'Barriers Reduction Report'!A5,'SERVICE ENTRY'!$G$4:$G$1200,"Native Hawaiian or Pacific Islander")+COUNTIFS('SERVICE ENTRY'!$AY$4:$AY$1200,'Barriers Reduction Report'!A5,'SERVICE ENTRY'!$G$4:$G$1200,"Native Hawaiian or Pacific Islander")+COUNTIFS('SERVICE ENTRY'!$AZ$4:$AZ$1200,'Barriers Reduction Report'!A5,'SERVICE ENTRY'!$G$4:$G$1200,"Native Hawaiian or Pacific Islander")+COUNTIFS('SERVICE ENTRY'!$BA$4:$BA$1200,'Barriers Reduction Report'!A5,'SERVICE ENTRY'!$G$4:$G$1200,"Native Hawaiian or Pacific Islander")</f>
        <v>0</v>
      </c>
      <c r="H5" s="100">
        <f>COUNTIFS('SERVICE ENTRY'!$AW$4:$AW$1200,'Barriers Reduction Report'!A5,'SERVICE ENTRY'!$G$4:$G$1200,"White")+COUNTIFS('SERVICE ENTRY'!$AX$4:$AX$1200,'Barriers Reduction Report'!A5,'SERVICE ENTRY'!$G$4:$G$1200,"White")+COUNTIFS('SERVICE ENTRY'!$AY$4:$AY$1200,'Barriers Reduction Report'!A5,'SERVICE ENTRY'!$G$4:$G$1200,"White")+COUNTIFS('SERVICE ENTRY'!$AZ$4:$AZ$1200,'Barriers Reduction Report'!A5,'SERVICE ENTRY'!$G$4:$G$1200,"White")+COUNTIFS('SERVICE ENTRY'!$BA$4:$BA$1200,'Barriers Reduction Report'!A5,'SERVICE ENTRY'!$G$4:$G$1200,"White")</f>
        <v>0</v>
      </c>
      <c r="I5" s="106">
        <f>COUNTIFS('SERVICE ENTRY'!$AW$4:$AW$1200,'Barriers Reduction Report'!A5,'SERVICE ENTRY'!$G$4:$G$1200,"Unknown or Other")+COUNTIFS('SERVICE ENTRY'!$AX$4:$AX$1200,'Barriers Reduction Report'!A5,'SERVICE ENTRY'!$G$4:$G$1200,"Unknown or Other")+COUNTIFS('SERVICE ENTRY'!$AY$4:$AY$1200,'Barriers Reduction Report'!A5,'SERVICE ENTRY'!$G$4:$G$1200,"Unknown or Other")+COUNTIFS('SERVICE ENTRY'!$AZ$4:$AZ$1200,'Barriers Reduction Report'!A5,'SERVICE ENTRY'!$G$4:$G$1200,"Unknown or Other")+COUNTIFS('SERVICE ENTRY'!$BA$4:$BA$1200,'Barriers Reduction Report'!A5,'SERVICE ENTRY'!$G$4:$G$1200,"Unknown or Other")</f>
        <v>0</v>
      </c>
      <c r="J5" s="102">
        <f>COUNTIFS('SERVICE ENTRY'!$AW$4:$AW$1200,'Barriers Reduction Report'!A5,'SERVICE ENTRY'!$F$4:$F$1200,"Colombian")+COUNTIFS('SERVICE ENTRY'!$AX$4:$AX$1200,'Barriers Reduction Report'!A5,'SERVICE ENTRY'!$F$4:$F$1200,"Colombian")+COUNTIFS('SERVICE ENTRY'!$AY$4:$AY$1200,'Barriers Reduction Report'!A5,'SERVICE ENTRY'!$F$4:$F$1200,"Colombian")+COUNTIFS('SERVICE ENTRY'!$AZ$4:$AZ$1200,'Barriers Reduction Report'!A5,'SERVICE ENTRY'!$F$4:$F$1200,"Colombian")+COUNTIFS('SERVICE ENTRY'!$BA$4:$BA$1200,'Barriers Reduction Report'!A5,'SERVICE ENTRY'!$F$4:$F$1200,"Colombian")+COUNTIFS('SERVICE ENTRY'!$AW$4:$AW$1200,'Barriers Reduction Report'!A5,'SERVICE ENTRY'!$F$4:$F$1200,"Cuban")+COUNTIFS('SERVICE ENTRY'!$AX$4:$AX$1200,'Barriers Reduction Report'!A5,'SERVICE ENTRY'!$F$4:$F$1200,"Cuban")+COUNTIFS('SERVICE ENTRY'!$AY$4:$AY$1200,'Barriers Reduction Report'!A5,'SERVICE ENTRY'!$F$4:$F$1200,"Cuban")+COUNTIFS('SERVICE ENTRY'!$AZ$4:$AZ$1200,'Barriers Reduction Report'!A5,'SERVICE ENTRY'!$F$4:$F$1200,"Cuban")+COUNTIFS('SERVICE ENTRY'!$BA$4:$BA$1200,'Barriers Reduction Report'!A5,'SERVICE ENTRY'!$F$4:$F$1200,"Cuban")+COUNTIFS('SERVICE ENTRY'!$AW$4:$AW$1200,'Barriers Reduction Report'!A5,'SERVICE ENTRY'!$F$4:$F$1200,"Dominican")+COUNTIFS('SERVICE ENTRY'!$AX$4:$AX$1200,'Barriers Reduction Report'!A5,'SERVICE ENTRY'!$F$4:$F$1200,"Dominican")+COUNTIFS('SERVICE ENTRY'!$AY$4:$AY$1200,'Barriers Reduction Report'!A5,'SERVICE ENTRY'!$F$4:$F$1200,"Dominican")+COUNTIFS('SERVICE ENTRY'!$AZ$4:$AZ$1200,'Barriers Reduction Report'!A5,'SERVICE ENTRY'!$F$4:$F$1200,"Dominican")+COUNTIFS('SERVICE ENTRY'!$BA$4:$BA$1200,'Barriers Reduction Report'!A5,'SERVICE ENTRY'!$F$4:$F$1200,"Dominican")+COUNTIFS('SERVICE ENTRY'!$AW$4:$AW$1200,'Barriers Reduction Report'!A5,'SERVICE ENTRY'!$F$4:$F$1200,"Mexican/Mexican-American/Chicano")+COUNTIFS('SERVICE ENTRY'!$AX$4:$AX$1200,'Barriers Reduction Report'!A5,'SERVICE ENTRY'!$F$4:$F$1200,"Mexican/Mexican-American/Chicano")+COUNTIFS('SERVICE ENTRY'!$AY$4:$AY$1200,'Barriers Reduction Report'!A5,'SERVICE ENTRY'!$F$4:$F$1200,"Mexican/Mexican-American/Chicano")+COUNTIFS('SERVICE ENTRY'!$AZ$4:$AZ$1200,'Barriers Reduction Report'!A5,'SERVICE ENTRY'!$F$4:$F$1200,"Mexican/Mexican-American/Chicano")+COUNTIFS('SERVICE ENTRY'!$BA$4:$BA$1200,'Barriers Reduction Report'!A5,'SERVICE ENTRY'!$F$4:$F$1200,"Mexican/Mexican-American/Chicano")+COUNTIFS('SERVICE ENTRY'!$AW$4:$AW$1200,'Barriers Reduction Report'!A5,'SERVICE ENTRY'!$F$4:$F$1200,"Puerto Rican")+COUNTIFS('SERVICE ENTRY'!$AX$4:$AX$1200,'Barriers Reduction Report'!A5,'SERVICE ENTRY'!$F$4:$F$1200,"Puerto Rican")+COUNTIFS('SERVICE ENTRY'!$AY$4:$AY$1200,'Barriers Reduction Report'!A5,'SERVICE ENTRY'!$F$4:$F$1200,"Puerto Rican")+COUNTIFS('SERVICE ENTRY'!$AZ$4:$AZ$1200,'Barriers Reduction Report'!A5,'SERVICE ENTRY'!$F$4:$F$1200,"Puerto Rican")+COUNTIFS('SERVICE ENTRY'!$BA$4:$BA$1200,'Barriers Reduction Report'!A5,'SERVICE ENTRY'!$F$4:$F$1200,"Puerto Rican")+COUNTIFS('SERVICE ENTRY'!$AW$4:$AW$1200,'Barriers Reduction Report'!A5,'SERVICE ENTRY'!$F$4:$F$1200,"Salvadoran")+COUNTIFS('SERVICE ENTRY'!$AX$4:$AX$1200,'Barriers Reduction Report'!A5,'SERVICE ENTRY'!$F$4:$F$1200,"Salvadoran")+COUNTIFS('SERVICE ENTRY'!$AY$4:$AY$1200,'Barriers Reduction Report'!A5,'SERVICE ENTRY'!$F$4:$F$1200,"Salvadoran")+COUNTIFS('SERVICE ENTRY'!$AZ$4:$AZ$1200,'Barriers Reduction Report'!A5,'SERVICE ENTRY'!$F$4:$F$1200,"Salvadoran")+COUNTIFS('SERVICE ENTRY'!$BA$4:$BA$1200,'Barriers Reduction Report'!A5,'SERVICE ENTRY'!$F$4:$F$1200,"Salvadoran")+COUNTIFS('SERVICE ENTRY'!$AW$4:$AW$1200,'Barriers Reduction Report'!A5,'SERVICE ENTRY'!$F$4:$F$1200,"Other Hispanic/Latino/Spanish origin")+COUNTIFS('SERVICE ENTRY'!$AX$4:$AX$1200,'Barriers Reduction Report'!A5,'SERVICE ENTRY'!$F$4:$F$1200,"Other Hispanic/Latino/Spanish origin")+COUNTIFS('SERVICE ENTRY'!$AY$4:$AY$1200,'Barriers Reduction Report'!A5,'SERVICE ENTRY'!$F$4:$F$1200,"Other Hispanic/Latino/Spanish origin")+COUNTIFS('SERVICE ENTRY'!$AZ$4:$AZ$1200,'Barriers Reduction Report'!A5,'SERVICE ENTRY'!$F$4:$F$1200,"Other Hispanic/Latino/Spanish origin")+COUNTIFS('SERVICE ENTRY'!$BA$4:$BA$1200,'Barriers Reduction Report'!A5,'SERVICE ENTRY'!$F$4:$F$1200,"Other Hispanic/Latino/Spanish origin")</f>
        <v>0</v>
      </c>
      <c r="K5" s="42">
        <f>COUNTIFS('SERVICE ENTRY'!$AW$4:$AW$1200,'Barriers Reduction Report'!A5,'SERVICE ENTRY'!$F$4:$F$1200,"Not of Hispanic/Latino/Spanish origin")+COUNTIFS('SERVICE ENTRY'!$AX$4:$AX$1200,'Barriers Reduction Report'!A5,'SERVICE ENTRY'!$F$4:$F$1200,"Not of Hispanic/Latino/Spanish origin")+COUNTIFS('SERVICE ENTRY'!$AY$4:$AY$1200,'Barriers Reduction Report'!A5,'SERVICE ENTRY'!$F$4:$F$1200,"Not of Hispanic/Latino/Spanish origin")+COUNTIFS('SERVICE ENTRY'!$AZ$4:$AZ$1200,'Barriers Reduction Report'!A5,'SERVICE ENTRY'!$F$4:$F$1200,"Not of Hispanic/Latino/Spanish origin")+COUNTIFS('SERVICE ENTRY'!$BA$4:$BA$1200,'Barriers Reduction Report'!A5,'SERVICE ENTRY'!$F$4:$F$1200,"Not of Hispanic/Latino/Spanish origin")</f>
        <v>0</v>
      </c>
      <c r="L5" s="210">
        <f>COUNTIFS('SERVICE ENTRY'!$AW$4:$AW$1200,'Barriers Reduction Report'!A5,'SERVICE ENTRY'!$F$4:$F$1200,"Unknown or Other")+COUNTIFS('SERVICE ENTRY'!$AX$4:$AX$1200,'Barriers Reduction Report'!A5,'SERVICE ENTRY'!$F$4:$F$1200,"Unknown or Other")+COUNTIFS('SERVICE ENTRY'!$AY$4:$AY$1200,'Barriers Reduction Report'!A5,'SERVICE ENTRY'!$F$4:$F$1200,"Unknown or Other")+COUNTIFS('SERVICE ENTRY'!$AZ$4:$AZ$1200,'Barriers Reduction Report'!A5,'SERVICE ENTRY'!$F$4:$F$1200,"Unknown or Other")+COUNTIFS('SERVICE ENTRY'!$BA$4:$BA$1200,'Barriers Reduction Report'!A5,'SERVICE ENTRY'!$F$4:$F$1200,"Unknown or Other")</f>
        <v>0</v>
      </c>
    </row>
    <row r="6" spans="1:12" s="54" customFormat="1" ht="52.5" customHeight="1" x14ac:dyDescent="0.25">
      <c r="A6" s="68" t="s">
        <v>105</v>
      </c>
      <c r="B6" s="106">
        <f>COUNTIF('SERVICE ENTRY'!$AW$4:$AW$1200,'Barriers Reduction Report'!A6)+COUNTIF('SERVICE ENTRY'!$AX$4:$AX$1200,'Barriers Reduction Report'!A6)+COUNTIF('SERVICE ENTRY'!$AY$4:$AY$1200,'Barriers Reduction Report'!A6)+COUNTIF('SERVICE ENTRY'!$AZ$4:$AZ$1200,'Barriers Reduction Report'!A6)+COUNTIF('SERVICE ENTRY'!$BA$4:$BA$1200,'Barriers Reduction Report'!A6)</f>
        <v>0</v>
      </c>
      <c r="C6" s="92">
        <f>COUNTIFS('SERVICE ENTRY'!$AW$4:$AW$1200,'Barriers Reduction Report'!A6,'SERVICE ENTRY'!$G$4:$G$1200,"American Indian or Alaska Native")+COUNTIFS('SERVICE ENTRY'!$AX$4:$AX$1200,'Barriers Reduction Report'!A6,'SERVICE ENTRY'!$G$4:$G$1200,"American Indian or Alaska Native")+COUNTIFS('SERVICE ENTRY'!$AY$4:$AY$1200,'Barriers Reduction Report'!A6,'SERVICE ENTRY'!$G$4:$G$1200,"American Indian or Alaska Native")+COUNTIFS('SERVICE ENTRY'!$AZ$4:$AZ$1200,'Barriers Reduction Report'!A6,'SERVICE ENTRY'!$G$4:$G$1200,"American Indian or Alaska Native")+COUNTIFS('SERVICE ENTRY'!$BA$4:$BA$1200,'Barriers Reduction Report'!A6,'SERVICE ENTRY'!$G$4:$G$1200,"American Indian or Alaska Native")</f>
        <v>0</v>
      </c>
      <c r="D6" s="42">
        <f>COUNTIFS('SERVICE ENTRY'!$AW$4:$AW$1200,'Barriers Reduction Report'!A6,'SERVICE ENTRY'!$G$4:$G$1200,"Asian")+COUNTIFS('SERVICE ENTRY'!$AX$4:$AX$1200,'Barriers Reduction Report'!A6,'SERVICE ENTRY'!$G$4:$G$1200,"Asian")+COUNTIFS('SERVICE ENTRY'!$AY$4:$AY$1200,'Barriers Reduction Report'!A6,'SERVICE ENTRY'!$G$4:$G$1200,"Asian")+COUNTIFS('SERVICE ENTRY'!$AZ$4:$AZ$1200,'Barriers Reduction Report'!A6,'SERVICE ENTRY'!$G$4:$G$1200,"Asian")+COUNTIFS('SERVICE ENTRY'!$BA$4:$BA$1200,'Barriers Reduction Report'!A6,'SERVICE ENTRY'!$G$4:$G$1200,"Asian")</f>
        <v>0</v>
      </c>
      <c r="E6" s="42">
        <f>COUNTIFS('SERVICE ENTRY'!$AW$4:$AW$1200,'Barriers Reduction Report'!A6,'SERVICE ENTRY'!$G$4:$G$1200,"Black/African-American")+COUNTIFS('SERVICE ENTRY'!$AX$4:$AX$1200,'Barriers Reduction Report'!A6,'SERVICE ENTRY'!$G$4:$G$1200,"Black/African-American")+COUNTIFS('SERVICE ENTRY'!$AY$4:$AY$1200,'Barriers Reduction Report'!A6,'SERVICE ENTRY'!$G$4:$G$1200,"Black/African-American")+COUNTIFS('SERVICE ENTRY'!$AZ$4:$AZ$1200,'Barriers Reduction Report'!A6,'SERVICE ENTRY'!$G$4:$G$1200,"Black/African-American")+COUNTIFS('SERVICE ENTRY'!$BA$4:$BA$1200,'Barriers Reduction Report'!A6,'SERVICE ENTRY'!$G$4:$G$1200,"Black/African-American")</f>
        <v>0</v>
      </c>
      <c r="F6" s="42">
        <f>COUNTIFS('SERVICE ENTRY'!$AW$4:$AW$1200,'Barriers Reduction Report'!A6,'SERVICE ENTRY'!$G$4:$G$1200,"Middle Eastern or North African")+COUNTIFS('SERVICE ENTRY'!$AX$4:$AX$1200,'Barriers Reduction Report'!A6,'SERVICE ENTRY'!$G$4:$G$1200,"Middle Eastern or North African")+COUNTIFS('SERVICE ENTRY'!$AY$4:$AY$1200,'Barriers Reduction Report'!A6,'SERVICE ENTRY'!$G$4:$G$1200,"Middle Eastern or North African")+COUNTIFS('SERVICE ENTRY'!$AZ$4:$AZ$1200,'Barriers Reduction Report'!A6,'SERVICE ENTRY'!$G$4:$G$1200,"Middle Eastern or North African")+COUNTIFS('SERVICE ENTRY'!$BA$4:$BA$1200,'Barriers Reduction Report'!A6,'SERVICE ENTRY'!$G$4:$G$1200,"Middle Eastern or North African")</f>
        <v>0</v>
      </c>
      <c r="G6" s="100">
        <f>COUNTIFS('SERVICE ENTRY'!$AW$4:$AW$1200,'Barriers Reduction Report'!A6,'SERVICE ENTRY'!$G$4:$G$1200,"Native Hawaiian or Pacific Islander")+COUNTIFS('SERVICE ENTRY'!$AX$4:$AX$1200,'Barriers Reduction Report'!A6,'SERVICE ENTRY'!$G$4:$G$1200,"Native Hawaiian or Pacific Islander")+COUNTIFS('SERVICE ENTRY'!$AY$4:$AY$1200,'Barriers Reduction Report'!A6,'SERVICE ENTRY'!$G$4:$G$1200,"Native Hawaiian or Pacific Islander")+COUNTIFS('SERVICE ENTRY'!$AZ$4:$AZ$1200,'Barriers Reduction Report'!A6,'SERVICE ENTRY'!$G$4:$G$1200,"Native Hawaiian or Pacific Islander")+COUNTIFS('SERVICE ENTRY'!$BA$4:$BA$1200,'Barriers Reduction Report'!A6,'SERVICE ENTRY'!$G$4:$G$1200,"Native Hawaiian or Pacific Islander")</f>
        <v>0</v>
      </c>
      <c r="H6" s="100">
        <f>COUNTIFS('SERVICE ENTRY'!$AW$4:$AW$1200,'Barriers Reduction Report'!A6,'SERVICE ENTRY'!$G$4:$G$1200,"White")+COUNTIFS('SERVICE ENTRY'!$AX$4:$AX$1200,'Barriers Reduction Report'!A6,'SERVICE ENTRY'!$G$4:$G$1200,"White")+COUNTIFS('SERVICE ENTRY'!$AY$4:$AY$1200,'Barriers Reduction Report'!A6,'SERVICE ENTRY'!$G$4:$G$1200,"White")+COUNTIFS('SERVICE ENTRY'!$AZ$4:$AZ$1200,'Barriers Reduction Report'!A6,'SERVICE ENTRY'!$G$4:$G$1200,"White")+COUNTIFS('SERVICE ENTRY'!$BA$4:$BA$1200,'Barriers Reduction Report'!A6,'SERVICE ENTRY'!$G$4:$G$1200,"White")</f>
        <v>0</v>
      </c>
      <c r="I6" s="106">
        <f>COUNTIFS('SERVICE ENTRY'!$AW$4:$AW$1200,'Barriers Reduction Report'!A6,'SERVICE ENTRY'!$G$4:$G$1200,"Unknown or Other")+COUNTIFS('SERVICE ENTRY'!$AX$4:$AX$1200,'Barriers Reduction Report'!A6,'SERVICE ENTRY'!$G$4:$G$1200,"Unknown or Other")+COUNTIFS('SERVICE ENTRY'!$AY$4:$AY$1200,'Barriers Reduction Report'!A6,'SERVICE ENTRY'!$G$4:$G$1200,"Unknown or Other")+COUNTIFS('SERVICE ENTRY'!$AZ$4:$AZ$1200,'Barriers Reduction Report'!A6,'SERVICE ENTRY'!$G$4:$G$1200,"Unknown or Other")+COUNTIFS('SERVICE ENTRY'!$BA$4:$BA$1200,'Barriers Reduction Report'!A6,'SERVICE ENTRY'!$G$4:$G$1200,"Unknown or Other")</f>
        <v>0</v>
      </c>
      <c r="J6" s="102">
        <f>COUNTIFS('SERVICE ENTRY'!$AW$4:$AW$1200,'Barriers Reduction Report'!A6,'SERVICE ENTRY'!$F$4:$F$1200,"Colombian")+COUNTIFS('SERVICE ENTRY'!$AX$4:$AX$1200,'Barriers Reduction Report'!A6,'SERVICE ENTRY'!$F$4:$F$1200,"Colombian")+COUNTIFS('SERVICE ENTRY'!$AY$4:$AY$1200,'Barriers Reduction Report'!A6,'SERVICE ENTRY'!$F$4:$F$1200,"Colombian")+COUNTIFS('SERVICE ENTRY'!$AZ$4:$AZ$1200,'Barriers Reduction Report'!A6,'SERVICE ENTRY'!$F$4:$F$1200,"Colombian")+COUNTIFS('SERVICE ENTRY'!$BA$4:$BA$1200,'Barriers Reduction Report'!A6,'SERVICE ENTRY'!$F$4:$F$1200,"Colombian")+COUNTIFS('SERVICE ENTRY'!$AW$4:$AW$1200,'Barriers Reduction Report'!A6,'SERVICE ENTRY'!$F$4:$F$1200,"Cuban")+COUNTIFS('SERVICE ENTRY'!$AX$4:$AX$1200,'Barriers Reduction Report'!A6,'SERVICE ENTRY'!$F$4:$F$1200,"Cuban")+COUNTIFS('SERVICE ENTRY'!$AY$4:$AY$1200,'Barriers Reduction Report'!A6,'SERVICE ENTRY'!$F$4:$F$1200,"Cuban")+COUNTIFS('SERVICE ENTRY'!$AZ$4:$AZ$1200,'Barriers Reduction Report'!A6,'SERVICE ENTRY'!$F$4:$F$1200,"Cuban")+COUNTIFS('SERVICE ENTRY'!$BA$4:$BA$1200,'Barriers Reduction Report'!A6,'SERVICE ENTRY'!$F$4:$F$1200,"Cuban")+COUNTIFS('SERVICE ENTRY'!$AW$4:$AW$1200,'Barriers Reduction Report'!A6,'SERVICE ENTRY'!$F$4:$F$1200,"Dominican")+COUNTIFS('SERVICE ENTRY'!$AX$4:$AX$1200,'Barriers Reduction Report'!A6,'SERVICE ENTRY'!$F$4:$F$1200,"Dominican")+COUNTIFS('SERVICE ENTRY'!$AY$4:$AY$1200,'Barriers Reduction Report'!A6,'SERVICE ENTRY'!$F$4:$F$1200,"Dominican")+COUNTIFS('SERVICE ENTRY'!$AZ$4:$AZ$1200,'Barriers Reduction Report'!A6,'SERVICE ENTRY'!$F$4:$F$1200,"Dominican")+COUNTIFS('SERVICE ENTRY'!$BA$4:$BA$1200,'Barriers Reduction Report'!A6,'SERVICE ENTRY'!$F$4:$F$1200,"Dominican")+COUNTIFS('SERVICE ENTRY'!$AW$4:$AW$1200,'Barriers Reduction Report'!A6,'SERVICE ENTRY'!$F$4:$F$1200,"Mexican/Mexican-American/Chicano")+COUNTIFS('SERVICE ENTRY'!$AX$4:$AX$1200,'Barriers Reduction Report'!A6,'SERVICE ENTRY'!$F$4:$F$1200,"Mexican/Mexican-American/Chicano")+COUNTIFS('SERVICE ENTRY'!$AY$4:$AY$1200,'Barriers Reduction Report'!A6,'SERVICE ENTRY'!$F$4:$F$1200,"Mexican/Mexican-American/Chicano")+COUNTIFS('SERVICE ENTRY'!$AZ$4:$AZ$1200,'Barriers Reduction Report'!A6,'SERVICE ENTRY'!$F$4:$F$1200,"Mexican/Mexican-American/Chicano")+COUNTIFS('SERVICE ENTRY'!$BA$4:$BA$1200,'Barriers Reduction Report'!A6,'SERVICE ENTRY'!$F$4:$F$1200,"Mexican/Mexican-American/Chicano")+COUNTIFS('SERVICE ENTRY'!$AW$4:$AW$1200,'Barriers Reduction Report'!A6,'SERVICE ENTRY'!$F$4:$F$1200,"Puerto Rican")+COUNTIFS('SERVICE ENTRY'!$AX$4:$AX$1200,'Barriers Reduction Report'!A6,'SERVICE ENTRY'!$F$4:$F$1200,"Puerto Rican")+COUNTIFS('SERVICE ENTRY'!$AY$4:$AY$1200,'Barriers Reduction Report'!A6,'SERVICE ENTRY'!$F$4:$F$1200,"Puerto Rican")+COUNTIFS('SERVICE ENTRY'!$AZ$4:$AZ$1200,'Barriers Reduction Report'!A6,'SERVICE ENTRY'!$F$4:$F$1200,"Puerto Rican")+COUNTIFS('SERVICE ENTRY'!$BA$4:$BA$1200,'Barriers Reduction Report'!A6,'SERVICE ENTRY'!$F$4:$F$1200,"Puerto Rican")+COUNTIFS('SERVICE ENTRY'!$AW$4:$AW$1200,'Barriers Reduction Report'!A6,'SERVICE ENTRY'!$F$4:$F$1200,"Salvadoran")+COUNTIFS('SERVICE ENTRY'!$AX$4:$AX$1200,'Barriers Reduction Report'!A6,'SERVICE ENTRY'!$F$4:$F$1200,"Salvadoran")+COUNTIFS('SERVICE ENTRY'!$AY$4:$AY$1200,'Barriers Reduction Report'!A6,'SERVICE ENTRY'!$F$4:$F$1200,"Salvadoran")+COUNTIFS('SERVICE ENTRY'!$AZ$4:$AZ$1200,'Barriers Reduction Report'!A6,'SERVICE ENTRY'!$F$4:$F$1200,"Salvadoran")+COUNTIFS('SERVICE ENTRY'!$BA$4:$BA$1200,'Barriers Reduction Report'!A6,'SERVICE ENTRY'!$F$4:$F$1200,"Salvadoran")+COUNTIFS('SERVICE ENTRY'!$AW$4:$AW$1200,'Barriers Reduction Report'!A6,'SERVICE ENTRY'!$F$4:$F$1200,"Other Hispanic/Latino/Spanish origin")+COUNTIFS('SERVICE ENTRY'!$AX$4:$AX$1200,'Barriers Reduction Report'!A6,'SERVICE ENTRY'!$F$4:$F$1200,"Other Hispanic/Latino/Spanish origin")+COUNTIFS('SERVICE ENTRY'!$AY$4:$AY$1200,'Barriers Reduction Report'!A6,'SERVICE ENTRY'!$F$4:$F$1200,"Other Hispanic/Latino/Spanish origin")+COUNTIFS('SERVICE ENTRY'!$AZ$4:$AZ$1200,'Barriers Reduction Report'!A6,'SERVICE ENTRY'!$F$4:$F$1200,"Other Hispanic/Latino/Spanish origin")+COUNTIFS('SERVICE ENTRY'!$BA$4:$BA$1200,'Barriers Reduction Report'!A6,'SERVICE ENTRY'!$F$4:$F$1200,"Other Hispanic/Latino/Spanish origin")</f>
        <v>0</v>
      </c>
      <c r="K6" s="42">
        <f>COUNTIFS('SERVICE ENTRY'!$AW$4:$AW$1200,'Barriers Reduction Report'!A6,'SERVICE ENTRY'!$F$4:$F$1200,"Not of Hispanic/Latino/Spanish origin")+COUNTIFS('SERVICE ENTRY'!$AX$4:$AX$1200,'Barriers Reduction Report'!A6,'SERVICE ENTRY'!$F$4:$F$1200,"Not of Hispanic/Latino/Spanish origin")+COUNTIFS('SERVICE ENTRY'!$AY$4:$AY$1200,'Barriers Reduction Report'!A6,'SERVICE ENTRY'!$F$4:$F$1200,"Not of Hispanic/Latino/Spanish origin")+COUNTIFS('SERVICE ENTRY'!$AZ$4:$AZ$1200,'Barriers Reduction Report'!A6,'SERVICE ENTRY'!$F$4:$F$1200,"Not of Hispanic/Latino/Spanish origin")+COUNTIFS('SERVICE ENTRY'!$BA$4:$BA$1200,'Barriers Reduction Report'!A6,'SERVICE ENTRY'!$F$4:$F$1200,"Not of Hispanic/Latino/Spanish origin")</f>
        <v>0</v>
      </c>
      <c r="L6" s="210">
        <f>COUNTIFS('SERVICE ENTRY'!$AW$4:$AW$1200,'Barriers Reduction Report'!A6,'SERVICE ENTRY'!$F$4:$F$1200,"Unknown or Other")+COUNTIFS('SERVICE ENTRY'!$AX$4:$AX$1200,'Barriers Reduction Report'!A6,'SERVICE ENTRY'!$F$4:$F$1200,"Unknown or Other")+COUNTIFS('SERVICE ENTRY'!$AY$4:$AY$1200,'Barriers Reduction Report'!A6,'SERVICE ENTRY'!$F$4:$F$1200,"Unknown or Other")+COUNTIFS('SERVICE ENTRY'!$AZ$4:$AZ$1200,'Barriers Reduction Report'!A6,'SERVICE ENTRY'!$F$4:$F$1200,"Unknown or Other")+COUNTIFS('SERVICE ENTRY'!$BA$4:$BA$1200,'Barriers Reduction Report'!A6,'SERVICE ENTRY'!$F$4:$F$1200,"Unknown or Other")</f>
        <v>0</v>
      </c>
    </row>
    <row r="7" spans="1:12" s="54" customFormat="1" ht="38.25" customHeight="1" x14ac:dyDescent="0.25">
      <c r="A7" s="68" t="s">
        <v>151</v>
      </c>
      <c r="B7" s="106">
        <f>COUNTIF('SERVICE ENTRY'!$AW$4:$AW$1200,'Barriers Reduction Report'!A7)+COUNTIF('SERVICE ENTRY'!$AX$4:$AX$1200,'Barriers Reduction Report'!A7)+COUNTIF('SERVICE ENTRY'!$AY$4:$AY$1200,'Barriers Reduction Report'!A7)+COUNTIF('SERVICE ENTRY'!$AZ$4:$AZ$1200,'Barriers Reduction Report'!A7)+COUNTIF('SERVICE ENTRY'!$BA$4:$BA$1200,'Barriers Reduction Report'!A7)</f>
        <v>0</v>
      </c>
      <c r="C7" s="92">
        <f>COUNTIFS('SERVICE ENTRY'!$AW$4:$AW$1200,'Barriers Reduction Report'!A7,'SERVICE ENTRY'!$G$4:$G$1200,"American Indian or Alaska Native")+COUNTIFS('SERVICE ENTRY'!$AX$4:$AX$1200,'Barriers Reduction Report'!A7,'SERVICE ENTRY'!$G$4:$G$1200,"American Indian or Alaska Native")+COUNTIFS('SERVICE ENTRY'!$AY$4:$AY$1200,'Barriers Reduction Report'!A7,'SERVICE ENTRY'!$G$4:$G$1200,"American Indian or Alaska Native")+COUNTIFS('SERVICE ENTRY'!$AZ$4:$AZ$1200,'Barriers Reduction Report'!A7,'SERVICE ENTRY'!$G$4:$G$1200,"American Indian or Alaska Native")+COUNTIFS('SERVICE ENTRY'!$BA$4:$BA$1200,'Barriers Reduction Report'!A7,'SERVICE ENTRY'!$G$4:$G$1200,"American Indian or Alaska Native")</f>
        <v>0</v>
      </c>
      <c r="D7" s="42">
        <f>COUNTIFS('SERVICE ENTRY'!$AW$4:$AW$1200,'Barriers Reduction Report'!A7,'SERVICE ENTRY'!$G$4:$G$1200,"Asian")+COUNTIFS('SERVICE ENTRY'!$AX$4:$AX$1200,'Barriers Reduction Report'!A7,'SERVICE ENTRY'!$G$4:$G$1200,"Asian")+COUNTIFS('SERVICE ENTRY'!$AY$4:$AY$1200,'Barriers Reduction Report'!A7,'SERVICE ENTRY'!$G$4:$G$1200,"Asian")+COUNTIFS('SERVICE ENTRY'!$AZ$4:$AZ$1200,'Barriers Reduction Report'!A7,'SERVICE ENTRY'!$G$4:$G$1200,"Asian")+COUNTIFS('SERVICE ENTRY'!$BA$4:$BA$1200,'Barriers Reduction Report'!A7,'SERVICE ENTRY'!$G$4:$G$1200,"Asian")</f>
        <v>0</v>
      </c>
      <c r="E7" s="42">
        <f>COUNTIFS('SERVICE ENTRY'!$AW$4:$AW$1200,'Barriers Reduction Report'!A7,'SERVICE ENTRY'!$G$4:$G$1200,"Black/African-American")+COUNTIFS('SERVICE ENTRY'!$AX$4:$AX$1200,'Barriers Reduction Report'!A7,'SERVICE ENTRY'!$G$4:$G$1200,"Black/African-American")+COUNTIFS('SERVICE ENTRY'!$AY$4:$AY$1200,'Barriers Reduction Report'!A7,'SERVICE ENTRY'!$G$4:$G$1200,"Black/African-American")+COUNTIFS('SERVICE ENTRY'!$AZ$4:$AZ$1200,'Barriers Reduction Report'!A7,'SERVICE ENTRY'!$G$4:$G$1200,"Black/African-American")+COUNTIFS('SERVICE ENTRY'!$BA$4:$BA$1200,'Barriers Reduction Report'!A7,'SERVICE ENTRY'!$G$4:$G$1200,"Black/African-American")</f>
        <v>0</v>
      </c>
      <c r="F7" s="42">
        <f>COUNTIFS('SERVICE ENTRY'!$AW$4:$AW$1200,'Barriers Reduction Report'!A7,'SERVICE ENTRY'!$G$4:$G$1200,"Middle Eastern or North African")+COUNTIFS('SERVICE ENTRY'!$AX$4:$AX$1200,'Barriers Reduction Report'!A7,'SERVICE ENTRY'!$G$4:$G$1200,"Middle Eastern or North African")+COUNTIFS('SERVICE ENTRY'!$AY$4:$AY$1200,'Barriers Reduction Report'!A7,'SERVICE ENTRY'!$G$4:$G$1200,"Middle Eastern or North African")+COUNTIFS('SERVICE ENTRY'!$AZ$4:$AZ$1200,'Barriers Reduction Report'!A7,'SERVICE ENTRY'!$G$4:$G$1200,"Middle Eastern or North African")+COUNTIFS('SERVICE ENTRY'!$BA$4:$BA$1200,'Barriers Reduction Report'!A7,'SERVICE ENTRY'!$G$4:$G$1200,"Middle Eastern or North African")</f>
        <v>0</v>
      </c>
      <c r="G7" s="100">
        <f>COUNTIFS('SERVICE ENTRY'!$AW$4:$AW$1200,'Barriers Reduction Report'!A7,'SERVICE ENTRY'!$G$4:$G$1200,"Native Hawaiian or Pacific Islander")+COUNTIFS('SERVICE ENTRY'!$AX$4:$AX$1200,'Barriers Reduction Report'!A7,'SERVICE ENTRY'!$G$4:$G$1200,"Native Hawaiian or Pacific Islander")+COUNTIFS('SERVICE ENTRY'!$AY$4:$AY$1200,'Barriers Reduction Report'!A7,'SERVICE ENTRY'!$G$4:$G$1200,"Native Hawaiian or Pacific Islander")+COUNTIFS('SERVICE ENTRY'!$AZ$4:$AZ$1200,'Barriers Reduction Report'!A7,'SERVICE ENTRY'!$G$4:$G$1200,"Native Hawaiian or Pacific Islander")+COUNTIFS('SERVICE ENTRY'!$BA$4:$BA$1200,'Barriers Reduction Report'!A7,'SERVICE ENTRY'!$G$4:$G$1200,"Native Hawaiian or Pacific Islander")</f>
        <v>0</v>
      </c>
      <c r="H7" s="100">
        <f>COUNTIFS('SERVICE ENTRY'!$AW$4:$AW$1200,'Barriers Reduction Report'!A7,'SERVICE ENTRY'!$G$4:$G$1200,"White")+COUNTIFS('SERVICE ENTRY'!$AX$4:$AX$1200,'Barriers Reduction Report'!A7,'SERVICE ENTRY'!$G$4:$G$1200,"White")+COUNTIFS('SERVICE ENTRY'!$AY$4:$AY$1200,'Barriers Reduction Report'!A7,'SERVICE ENTRY'!$G$4:$G$1200,"White")+COUNTIFS('SERVICE ENTRY'!$AZ$4:$AZ$1200,'Barriers Reduction Report'!A7,'SERVICE ENTRY'!$G$4:$G$1200,"White")+COUNTIFS('SERVICE ENTRY'!$BA$4:$BA$1200,'Barriers Reduction Report'!A7,'SERVICE ENTRY'!$G$4:$G$1200,"White")</f>
        <v>0</v>
      </c>
      <c r="I7" s="106">
        <f>COUNTIFS('SERVICE ENTRY'!$AW$4:$AW$1200,'Barriers Reduction Report'!A7,'SERVICE ENTRY'!$G$4:$G$1200,"Unknown or Other")+COUNTIFS('SERVICE ENTRY'!$AX$4:$AX$1200,'Barriers Reduction Report'!A7,'SERVICE ENTRY'!$G$4:$G$1200,"Unknown or Other")+COUNTIFS('SERVICE ENTRY'!$AY$4:$AY$1200,'Barriers Reduction Report'!A7,'SERVICE ENTRY'!$G$4:$G$1200,"Unknown or Other")+COUNTIFS('SERVICE ENTRY'!$AZ$4:$AZ$1200,'Barriers Reduction Report'!A7,'SERVICE ENTRY'!$G$4:$G$1200,"Unknown or Other")+COUNTIFS('SERVICE ENTRY'!$BA$4:$BA$1200,'Barriers Reduction Report'!A7,'SERVICE ENTRY'!$G$4:$G$1200,"Unknown or Other")</f>
        <v>0</v>
      </c>
      <c r="J7" s="102">
        <f>COUNTIFS('SERVICE ENTRY'!$AW$4:$AW$1200,'Barriers Reduction Report'!A7,'SERVICE ENTRY'!$F$4:$F$1200,"Colombian")+COUNTIFS('SERVICE ENTRY'!$AX$4:$AX$1200,'Barriers Reduction Report'!A7,'SERVICE ENTRY'!$F$4:$F$1200,"Colombian")+COUNTIFS('SERVICE ENTRY'!$AY$4:$AY$1200,'Barriers Reduction Report'!A7,'SERVICE ENTRY'!$F$4:$F$1200,"Colombian")+COUNTIFS('SERVICE ENTRY'!$AZ$4:$AZ$1200,'Barriers Reduction Report'!A7,'SERVICE ENTRY'!$F$4:$F$1200,"Colombian")+COUNTIFS('SERVICE ENTRY'!$BA$4:$BA$1200,'Barriers Reduction Report'!A7,'SERVICE ENTRY'!$F$4:$F$1200,"Colombian")+COUNTIFS('SERVICE ENTRY'!$AW$4:$AW$1200,'Barriers Reduction Report'!A7,'SERVICE ENTRY'!$F$4:$F$1200,"Cuban")+COUNTIFS('SERVICE ENTRY'!$AX$4:$AX$1200,'Barriers Reduction Report'!A7,'SERVICE ENTRY'!$F$4:$F$1200,"Cuban")+COUNTIFS('SERVICE ENTRY'!$AY$4:$AY$1200,'Barriers Reduction Report'!A7,'SERVICE ENTRY'!$F$4:$F$1200,"Cuban")+COUNTIFS('SERVICE ENTRY'!$AZ$4:$AZ$1200,'Barriers Reduction Report'!A7,'SERVICE ENTRY'!$F$4:$F$1200,"Cuban")+COUNTIFS('SERVICE ENTRY'!$BA$4:$BA$1200,'Barriers Reduction Report'!A7,'SERVICE ENTRY'!$F$4:$F$1200,"Cuban")+COUNTIFS('SERVICE ENTRY'!$AW$4:$AW$1200,'Barriers Reduction Report'!A7,'SERVICE ENTRY'!$F$4:$F$1200,"Dominican")+COUNTIFS('SERVICE ENTRY'!$AX$4:$AX$1200,'Barriers Reduction Report'!A7,'SERVICE ENTRY'!$F$4:$F$1200,"Dominican")+COUNTIFS('SERVICE ENTRY'!$AY$4:$AY$1200,'Barriers Reduction Report'!A7,'SERVICE ENTRY'!$F$4:$F$1200,"Dominican")+COUNTIFS('SERVICE ENTRY'!$AZ$4:$AZ$1200,'Barriers Reduction Report'!A7,'SERVICE ENTRY'!$F$4:$F$1200,"Dominican")+COUNTIFS('SERVICE ENTRY'!$BA$4:$BA$1200,'Barriers Reduction Report'!A7,'SERVICE ENTRY'!$F$4:$F$1200,"Dominican")+COUNTIFS('SERVICE ENTRY'!$AW$4:$AW$1200,'Barriers Reduction Report'!A7,'SERVICE ENTRY'!$F$4:$F$1200,"Mexican/Mexican-American/Chicano")+COUNTIFS('SERVICE ENTRY'!$AX$4:$AX$1200,'Barriers Reduction Report'!A7,'SERVICE ENTRY'!$F$4:$F$1200,"Mexican/Mexican-American/Chicano")+COUNTIFS('SERVICE ENTRY'!$AY$4:$AY$1200,'Barriers Reduction Report'!A7,'SERVICE ENTRY'!$F$4:$F$1200,"Mexican/Mexican-American/Chicano")+COUNTIFS('SERVICE ENTRY'!$AZ$4:$AZ$1200,'Barriers Reduction Report'!A7,'SERVICE ENTRY'!$F$4:$F$1200,"Mexican/Mexican-American/Chicano")+COUNTIFS('SERVICE ENTRY'!$BA$4:$BA$1200,'Barriers Reduction Report'!A7,'SERVICE ENTRY'!$F$4:$F$1200,"Mexican/Mexican-American/Chicano")+COUNTIFS('SERVICE ENTRY'!$AW$4:$AW$1200,'Barriers Reduction Report'!A7,'SERVICE ENTRY'!$F$4:$F$1200,"Puerto Rican")+COUNTIFS('SERVICE ENTRY'!$AX$4:$AX$1200,'Barriers Reduction Report'!A7,'SERVICE ENTRY'!$F$4:$F$1200,"Puerto Rican")+COUNTIFS('SERVICE ENTRY'!$AY$4:$AY$1200,'Barriers Reduction Report'!A7,'SERVICE ENTRY'!$F$4:$F$1200,"Puerto Rican")+COUNTIFS('SERVICE ENTRY'!$AZ$4:$AZ$1200,'Barriers Reduction Report'!A7,'SERVICE ENTRY'!$F$4:$F$1200,"Puerto Rican")+COUNTIFS('SERVICE ENTRY'!$BA$4:$BA$1200,'Barriers Reduction Report'!A7,'SERVICE ENTRY'!$F$4:$F$1200,"Puerto Rican")+COUNTIFS('SERVICE ENTRY'!$AW$4:$AW$1200,'Barriers Reduction Report'!A7,'SERVICE ENTRY'!$F$4:$F$1200,"Salvadoran")+COUNTIFS('SERVICE ENTRY'!$AX$4:$AX$1200,'Barriers Reduction Report'!A7,'SERVICE ENTRY'!$F$4:$F$1200,"Salvadoran")+COUNTIFS('SERVICE ENTRY'!$AY$4:$AY$1200,'Barriers Reduction Report'!A7,'SERVICE ENTRY'!$F$4:$F$1200,"Salvadoran")+COUNTIFS('SERVICE ENTRY'!$AZ$4:$AZ$1200,'Barriers Reduction Report'!A7,'SERVICE ENTRY'!$F$4:$F$1200,"Salvadoran")+COUNTIFS('SERVICE ENTRY'!$BA$4:$BA$1200,'Barriers Reduction Report'!A7,'SERVICE ENTRY'!$F$4:$F$1200,"Salvadoran")+COUNTIFS('SERVICE ENTRY'!$AW$4:$AW$1200,'Barriers Reduction Report'!A7,'SERVICE ENTRY'!$F$4:$F$1200,"Other Hispanic/Latino/Spanish origin")+COUNTIFS('SERVICE ENTRY'!$AX$4:$AX$1200,'Barriers Reduction Report'!A7,'SERVICE ENTRY'!$F$4:$F$1200,"Other Hispanic/Latino/Spanish origin")+COUNTIFS('SERVICE ENTRY'!$AY$4:$AY$1200,'Barriers Reduction Report'!A7,'SERVICE ENTRY'!$F$4:$F$1200,"Other Hispanic/Latino/Spanish origin")+COUNTIFS('SERVICE ENTRY'!$AZ$4:$AZ$1200,'Barriers Reduction Report'!A7,'SERVICE ENTRY'!$F$4:$F$1200,"Other Hispanic/Latino/Spanish origin")+COUNTIFS('SERVICE ENTRY'!$BA$4:$BA$1200,'Barriers Reduction Report'!A7,'SERVICE ENTRY'!$F$4:$F$1200,"Other Hispanic/Latino/Spanish origin")</f>
        <v>0</v>
      </c>
      <c r="K7" s="42">
        <f>COUNTIFS('SERVICE ENTRY'!$AW$4:$AW$1200,'Barriers Reduction Report'!A7,'SERVICE ENTRY'!$F$4:$F$1200,"Not of Hispanic/Latino/Spanish origin")+COUNTIFS('SERVICE ENTRY'!$AX$4:$AX$1200,'Barriers Reduction Report'!A7,'SERVICE ENTRY'!$F$4:$F$1200,"Not of Hispanic/Latino/Spanish origin")+COUNTIFS('SERVICE ENTRY'!$AY$4:$AY$1200,'Barriers Reduction Report'!A7,'SERVICE ENTRY'!$F$4:$F$1200,"Not of Hispanic/Latino/Spanish origin")+COUNTIFS('SERVICE ENTRY'!$AZ$4:$AZ$1200,'Barriers Reduction Report'!A7,'SERVICE ENTRY'!$F$4:$F$1200,"Not of Hispanic/Latino/Spanish origin")+COUNTIFS('SERVICE ENTRY'!$BA$4:$BA$1200,'Barriers Reduction Report'!A7,'SERVICE ENTRY'!$F$4:$F$1200,"Not of Hispanic/Latino/Spanish origin")</f>
        <v>0</v>
      </c>
      <c r="L7" s="210">
        <f>COUNTIFS('SERVICE ENTRY'!$AW$4:$AW$1200,'Barriers Reduction Report'!A7,'SERVICE ENTRY'!$F$4:$F$1200,"Unknown or Other")+COUNTIFS('SERVICE ENTRY'!$AX$4:$AX$1200,'Barriers Reduction Report'!A7,'SERVICE ENTRY'!$F$4:$F$1200,"Unknown or Other")+COUNTIFS('SERVICE ENTRY'!$AY$4:$AY$1200,'Barriers Reduction Report'!A7,'SERVICE ENTRY'!$F$4:$F$1200,"Unknown or Other")+COUNTIFS('SERVICE ENTRY'!$AZ$4:$AZ$1200,'Barriers Reduction Report'!A7,'SERVICE ENTRY'!$F$4:$F$1200,"Unknown or Other")+COUNTIFS('SERVICE ENTRY'!$BA$4:$BA$1200,'Barriers Reduction Report'!A7,'SERVICE ENTRY'!$F$4:$F$1200,"Unknown or Other")</f>
        <v>0</v>
      </c>
    </row>
    <row r="8" spans="1:12" s="54" customFormat="1" ht="45.75" customHeight="1" x14ac:dyDescent="0.25">
      <c r="A8" s="68" t="s">
        <v>104</v>
      </c>
      <c r="B8" s="106">
        <f>COUNTIF('SERVICE ENTRY'!$AW$4:$AW$1200,'Barriers Reduction Report'!A8)+COUNTIF('SERVICE ENTRY'!$AX$4:$AX$1200,'Barriers Reduction Report'!A8)+COUNTIF('SERVICE ENTRY'!$AY$4:$AY$1200,'Barriers Reduction Report'!A8)+COUNTIF('SERVICE ENTRY'!$AZ$4:$AZ$1200,'Barriers Reduction Report'!A8)+COUNTIF('SERVICE ENTRY'!$BA$4:$BA$1200,'Barriers Reduction Report'!A8)</f>
        <v>0</v>
      </c>
      <c r="C8" s="92">
        <f>COUNTIFS('SERVICE ENTRY'!$AW$4:$AW$1200,'Barriers Reduction Report'!A8,'SERVICE ENTRY'!$G$4:$G$1200,"American Indian or Alaska Native")+COUNTIFS('SERVICE ENTRY'!$AX$4:$AX$1200,'Barriers Reduction Report'!A8,'SERVICE ENTRY'!$G$4:$G$1200,"American Indian or Alaska Native")+COUNTIFS('SERVICE ENTRY'!$AY$4:$AY$1200,'Barriers Reduction Report'!A8,'SERVICE ENTRY'!$G$4:$G$1200,"American Indian or Alaska Native")+COUNTIFS('SERVICE ENTRY'!$AZ$4:$AZ$1200,'Barriers Reduction Report'!A8,'SERVICE ENTRY'!$G$4:$G$1200,"American Indian or Alaska Native")+COUNTIFS('SERVICE ENTRY'!$BA$4:$BA$1200,'Barriers Reduction Report'!A8,'SERVICE ENTRY'!$G$4:$G$1200,"American Indian or Alaska Native")</f>
        <v>0</v>
      </c>
      <c r="D8" s="42">
        <f>COUNTIFS('SERVICE ENTRY'!$AW$4:$AW$1200,'Barriers Reduction Report'!A8,'SERVICE ENTRY'!$G$4:$G$1200,"Asian")+COUNTIFS('SERVICE ENTRY'!$AX$4:$AX$1200,'Barriers Reduction Report'!A8,'SERVICE ENTRY'!$G$4:$G$1200,"Asian")+COUNTIFS('SERVICE ENTRY'!$AY$4:$AY$1200,'Barriers Reduction Report'!A8,'SERVICE ENTRY'!$G$4:$G$1200,"Asian")+COUNTIFS('SERVICE ENTRY'!$AZ$4:$AZ$1200,'Barriers Reduction Report'!A8,'SERVICE ENTRY'!$G$4:$G$1200,"Asian")+COUNTIFS('SERVICE ENTRY'!$BA$4:$BA$1200,'Barriers Reduction Report'!A8,'SERVICE ENTRY'!$G$4:$G$1200,"Asian")</f>
        <v>0</v>
      </c>
      <c r="E8" s="42">
        <f>COUNTIFS('SERVICE ENTRY'!$AW$4:$AW$1200,'Barriers Reduction Report'!A8,'SERVICE ENTRY'!$G$4:$G$1200,"Black/African-American")+COUNTIFS('SERVICE ENTRY'!$AX$4:$AX$1200,'Barriers Reduction Report'!A8,'SERVICE ENTRY'!$G$4:$G$1200,"Black/African-American")+COUNTIFS('SERVICE ENTRY'!$AY$4:$AY$1200,'Barriers Reduction Report'!A8,'SERVICE ENTRY'!$G$4:$G$1200,"Black/African-American")+COUNTIFS('SERVICE ENTRY'!$AZ$4:$AZ$1200,'Barriers Reduction Report'!A8,'SERVICE ENTRY'!$G$4:$G$1200,"Black/African-American")+COUNTIFS('SERVICE ENTRY'!$BA$4:$BA$1200,'Barriers Reduction Report'!A8,'SERVICE ENTRY'!$G$4:$G$1200,"Black/African-American")</f>
        <v>0</v>
      </c>
      <c r="F8" s="42">
        <f>COUNTIFS('SERVICE ENTRY'!$AW$4:$AW$1200,'Barriers Reduction Report'!A8,'SERVICE ENTRY'!$G$4:$G$1200,"Middle Eastern or North African")+COUNTIFS('SERVICE ENTRY'!$AX$4:$AX$1200,'Barriers Reduction Report'!A8,'SERVICE ENTRY'!$G$4:$G$1200,"Middle Eastern or North African")+COUNTIFS('SERVICE ENTRY'!$AY$4:$AY$1200,'Barriers Reduction Report'!A8,'SERVICE ENTRY'!$G$4:$G$1200,"Middle Eastern or North African")+COUNTIFS('SERVICE ENTRY'!$AZ$4:$AZ$1200,'Barriers Reduction Report'!A8,'SERVICE ENTRY'!$G$4:$G$1200,"Middle Eastern or North African")+COUNTIFS('SERVICE ENTRY'!$BA$4:$BA$1200,'Barriers Reduction Report'!A8,'SERVICE ENTRY'!$G$4:$G$1200,"Middle Eastern or North African")</f>
        <v>0</v>
      </c>
      <c r="G8" s="100">
        <f>COUNTIFS('SERVICE ENTRY'!$AW$4:$AW$1200,'Barriers Reduction Report'!A8,'SERVICE ENTRY'!$G$4:$G$1200,"Native Hawaiian or Pacific Islander")+COUNTIFS('SERVICE ENTRY'!$AX$4:$AX$1200,'Barriers Reduction Report'!A8,'SERVICE ENTRY'!$G$4:$G$1200,"Native Hawaiian or Pacific Islander")+COUNTIFS('SERVICE ENTRY'!$AY$4:$AY$1200,'Barriers Reduction Report'!A8,'SERVICE ENTRY'!$G$4:$G$1200,"Native Hawaiian or Pacific Islander")+COUNTIFS('SERVICE ENTRY'!$AZ$4:$AZ$1200,'Barriers Reduction Report'!A8,'SERVICE ENTRY'!$G$4:$G$1200,"Native Hawaiian or Pacific Islander")+COUNTIFS('SERVICE ENTRY'!$BA$4:$BA$1200,'Barriers Reduction Report'!A8,'SERVICE ENTRY'!$G$4:$G$1200,"Native Hawaiian or Pacific Islander")</f>
        <v>0</v>
      </c>
      <c r="H8" s="100">
        <f>COUNTIFS('SERVICE ENTRY'!$AW$4:$AW$1200,'Barriers Reduction Report'!A8,'SERVICE ENTRY'!$G$4:$G$1200,"White")+COUNTIFS('SERVICE ENTRY'!$AX$4:$AX$1200,'Barriers Reduction Report'!A8,'SERVICE ENTRY'!$G$4:$G$1200,"White")+COUNTIFS('SERVICE ENTRY'!$AY$4:$AY$1200,'Barriers Reduction Report'!A8,'SERVICE ENTRY'!$G$4:$G$1200,"White")+COUNTIFS('SERVICE ENTRY'!$AZ$4:$AZ$1200,'Barriers Reduction Report'!A8,'SERVICE ENTRY'!$G$4:$G$1200,"White")+COUNTIFS('SERVICE ENTRY'!$BA$4:$BA$1200,'Barriers Reduction Report'!A8,'SERVICE ENTRY'!$G$4:$G$1200,"White")</f>
        <v>0</v>
      </c>
      <c r="I8" s="106">
        <f>COUNTIFS('SERVICE ENTRY'!$AW$4:$AW$1200,'Barriers Reduction Report'!A8,'SERVICE ENTRY'!$G$4:$G$1200,"Unknown or Other")+COUNTIFS('SERVICE ENTRY'!$AX$4:$AX$1200,'Barriers Reduction Report'!A8,'SERVICE ENTRY'!$G$4:$G$1200,"Unknown or Other")+COUNTIFS('SERVICE ENTRY'!$AY$4:$AY$1200,'Barriers Reduction Report'!A8,'SERVICE ENTRY'!$G$4:$G$1200,"Unknown or Other")+COUNTIFS('SERVICE ENTRY'!$AZ$4:$AZ$1200,'Barriers Reduction Report'!A8,'SERVICE ENTRY'!$G$4:$G$1200,"Unknown or Other")+COUNTIFS('SERVICE ENTRY'!$BA$4:$BA$1200,'Barriers Reduction Report'!A8,'SERVICE ENTRY'!$G$4:$G$1200,"Unknown or Other")</f>
        <v>0</v>
      </c>
      <c r="J8" s="102">
        <f>COUNTIFS('SERVICE ENTRY'!$AW$4:$AW$1200,'Barriers Reduction Report'!A8,'SERVICE ENTRY'!$F$4:$F$1200,"Colombian")+COUNTIFS('SERVICE ENTRY'!$AX$4:$AX$1200,'Barriers Reduction Report'!A8,'SERVICE ENTRY'!$F$4:$F$1200,"Colombian")+COUNTIFS('SERVICE ENTRY'!$AY$4:$AY$1200,'Barriers Reduction Report'!A8,'SERVICE ENTRY'!$F$4:$F$1200,"Colombian")+COUNTIFS('SERVICE ENTRY'!$AZ$4:$AZ$1200,'Barriers Reduction Report'!A8,'SERVICE ENTRY'!$F$4:$F$1200,"Colombian")+COUNTIFS('SERVICE ENTRY'!$BA$4:$BA$1200,'Barriers Reduction Report'!A8,'SERVICE ENTRY'!$F$4:$F$1200,"Colombian")+COUNTIFS('SERVICE ENTRY'!$AW$4:$AW$1200,'Barriers Reduction Report'!A8,'SERVICE ENTRY'!$F$4:$F$1200,"Cuban")+COUNTIFS('SERVICE ENTRY'!$AX$4:$AX$1200,'Barriers Reduction Report'!A8,'SERVICE ENTRY'!$F$4:$F$1200,"Cuban")+COUNTIFS('SERVICE ENTRY'!$AY$4:$AY$1200,'Barriers Reduction Report'!A8,'SERVICE ENTRY'!$F$4:$F$1200,"Cuban")+COUNTIFS('SERVICE ENTRY'!$AZ$4:$AZ$1200,'Barriers Reduction Report'!A8,'SERVICE ENTRY'!$F$4:$F$1200,"Cuban")+COUNTIFS('SERVICE ENTRY'!$BA$4:$BA$1200,'Barriers Reduction Report'!A8,'SERVICE ENTRY'!$F$4:$F$1200,"Cuban")+COUNTIFS('SERVICE ENTRY'!$AW$4:$AW$1200,'Barriers Reduction Report'!A8,'SERVICE ENTRY'!$F$4:$F$1200,"Dominican")+COUNTIFS('SERVICE ENTRY'!$AX$4:$AX$1200,'Barriers Reduction Report'!A8,'SERVICE ENTRY'!$F$4:$F$1200,"Dominican")+COUNTIFS('SERVICE ENTRY'!$AY$4:$AY$1200,'Barriers Reduction Report'!A8,'SERVICE ENTRY'!$F$4:$F$1200,"Dominican")+COUNTIFS('SERVICE ENTRY'!$AZ$4:$AZ$1200,'Barriers Reduction Report'!A8,'SERVICE ENTRY'!$F$4:$F$1200,"Dominican")+COUNTIFS('SERVICE ENTRY'!$BA$4:$BA$1200,'Barriers Reduction Report'!A8,'SERVICE ENTRY'!$F$4:$F$1200,"Dominican")+COUNTIFS('SERVICE ENTRY'!$AW$4:$AW$1200,'Barriers Reduction Report'!A8,'SERVICE ENTRY'!$F$4:$F$1200,"Mexican/Mexican-American/Chicano")+COUNTIFS('SERVICE ENTRY'!$AX$4:$AX$1200,'Barriers Reduction Report'!A8,'SERVICE ENTRY'!$F$4:$F$1200,"Mexican/Mexican-American/Chicano")+COUNTIFS('SERVICE ENTRY'!$AY$4:$AY$1200,'Barriers Reduction Report'!A8,'SERVICE ENTRY'!$F$4:$F$1200,"Mexican/Mexican-American/Chicano")+COUNTIFS('SERVICE ENTRY'!$AZ$4:$AZ$1200,'Barriers Reduction Report'!A8,'SERVICE ENTRY'!$F$4:$F$1200,"Mexican/Mexican-American/Chicano")+COUNTIFS('SERVICE ENTRY'!$BA$4:$BA$1200,'Barriers Reduction Report'!A8,'SERVICE ENTRY'!$F$4:$F$1200,"Mexican/Mexican-American/Chicano")+COUNTIFS('SERVICE ENTRY'!$AW$4:$AW$1200,'Barriers Reduction Report'!A8,'SERVICE ENTRY'!$F$4:$F$1200,"Puerto Rican")+COUNTIFS('SERVICE ENTRY'!$AX$4:$AX$1200,'Barriers Reduction Report'!A8,'SERVICE ENTRY'!$F$4:$F$1200,"Puerto Rican")+COUNTIFS('SERVICE ENTRY'!$AY$4:$AY$1200,'Barriers Reduction Report'!A8,'SERVICE ENTRY'!$F$4:$F$1200,"Puerto Rican")+COUNTIFS('SERVICE ENTRY'!$AZ$4:$AZ$1200,'Barriers Reduction Report'!A8,'SERVICE ENTRY'!$F$4:$F$1200,"Puerto Rican")+COUNTIFS('SERVICE ENTRY'!$BA$4:$BA$1200,'Barriers Reduction Report'!A8,'SERVICE ENTRY'!$F$4:$F$1200,"Puerto Rican")+COUNTIFS('SERVICE ENTRY'!$AW$4:$AW$1200,'Barriers Reduction Report'!A8,'SERVICE ENTRY'!$F$4:$F$1200,"Salvadoran")+COUNTIFS('SERVICE ENTRY'!$AX$4:$AX$1200,'Barriers Reduction Report'!A8,'SERVICE ENTRY'!$F$4:$F$1200,"Salvadoran")+COUNTIFS('SERVICE ENTRY'!$AY$4:$AY$1200,'Barriers Reduction Report'!A8,'SERVICE ENTRY'!$F$4:$F$1200,"Salvadoran")+COUNTIFS('SERVICE ENTRY'!$AZ$4:$AZ$1200,'Barriers Reduction Report'!A8,'SERVICE ENTRY'!$F$4:$F$1200,"Salvadoran")+COUNTIFS('SERVICE ENTRY'!$BA$4:$BA$1200,'Barriers Reduction Report'!A8,'SERVICE ENTRY'!$F$4:$F$1200,"Salvadoran")+COUNTIFS('SERVICE ENTRY'!$AW$4:$AW$1200,'Barriers Reduction Report'!A8,'SERVICE ENTRY'!$F$4:$F$1200,"Other Hispanic/Latino/Spanish origin")+COUNTIFS('SERVICE ENTRY'!$AX$4:$AX$1200,'Barriers Reduction Report'!A8,'SERVICE ENTRY'!$F$4:$F$1200,"Other Hispanic/Latino/Spanish origin")+COUNTIFS('SERVICE ENTRY'!$AY$4:$AY$1200,'Barriers Reduction Report'!A8,'SERVICE ENTRY'!$F$4:$F$1200,"Other Hispanic/Latino/Spanish origin")+COUNTIFS('SERVICE ENTRY'!$AZ$4:$AZ$1200,'Barriers Reduction Report'!A8,'SERVICE ENTRY'!$F$4:$F$1200,"Other Hispanic/Latino/Spanish origin")+COUNTIFS('SERVICE ENTRY'!$BA$4:$BA$1200,'Barriers Reduction Report'!A8,'SERVICE ENTRY'!$F$4:$F$1200,"Other Hispanic/Latino/Spanish origin")</f>
        <v>0</v>
      </c>
      <c r="K8" s="42">
        <f>COUNTIFS('SERVICE ENTRY'!$AW$4:$AW$1200,'Barriers Reduction Report'!A8,'SERVICE ENTRY'!$F$4:$F$1200,"Not of Hispanic/Latino/Spanish origin")+COUNTIFS('SERVICE ENTRY'!$AX$4:$AX$1200,'Barriers Reduction Report'!A8,'SERVICE ENTRY'!$F$4:$F$1200,"Not of Hispanic/Latino/Spanish origin")+COUNTIFS('SERVICE ENTRY'!$AY$4:$AY$1200,'Barriers Reduction Report'!A8,'SERVICE ENTRY'!$F$4:$F$1200,"Not of Hispanic/Latino/Spanish origin")+COUNTIFS('SERVICE ENTRY'!$AZ$4:$AZ$1200,'Barriers Reduction Report'!A8,'SERVICE ENTRY'!$F$4:$F$1200,"Not of Hispanic/Latino/Spanish origin")+COUNTIFS('SERVICE ENTRY'!$BA$4:$BA$1200,'Barriers Reduction Report'!A8,'SERVICE ENTRY'!$F$4:$F$1200,"Not of Hispanic/Latino/Spanish origin")</f>
        <v>0</v>
      </c>
      <c r="L8" s="210">
        <f>COUNTIFS('SERVICE ENTRY'!$AW$4:$AW$1200,'Barriers Reduction Report'!A8,'SERVICE ENTRY'!$F$4:$F$1200,"Unknown or Other")+COUNTIFS('SERVICE ENTRY'!$AX$4:$AX$1200,'Barriers Reduction Report'!A8,'SERVICE ENTRY'!$F$4:$F$1200,"Unknown or Other")+COUNTIFS('SERVICE ENTRY'!$AY$4:$AY$1200,'Barriers Reduction Report'!A8,'SERVICE ENTRY'!$F$4:$F$1200,"Unknown or Other")+COUNTIFS('SERVICE ENTRY'!$AZ$4:$AZ$1200,'Barriers Reduction Report'!A8,'SERVICE ENTRY'!$F$4:$F$1200,"Unknown or Other")+COUNTIFS('SERVICE ENTRY'!$BA$4:$BA$1200,'Barriers Reduction Report'!A8,'SERVICE ENTRY'!$F$4:$F$1200,"Unknown or Other")</f>
        <v>0</v>
      </c>
    </row>
    <row r="9" spans="1:12" s="54" customFormat="1" ht="52.5" customHeight="1" thickBot="1" x14ac:dyDescent="0.3">
      <c r="A9" s="113" t="s">
        <v>237</v>
      </c>
      <c r="B9" s="106">
        <f>COUNTIF('SERVICE ENTRY'!$AW$4:$AW$1200,'Barriers Reduction Report'!A9)+COUNTIF('SERVICE ENTRY'!$AX$4:$AX$1200,'Barriers Reduction Report'!A9)+COUNTIF('SERVICE ENTRY'!$AY$4:$AY$1200,'Barriers Reduction Report'!A9)+COUNTIF('SERVICE ENTRY'!$AZ$4:$AZ$1200,'Barriers Reduction Report'!A9)+COUNTIF('SERVICE ENTRY'!$BA$4:$BA$1200,'Barriers Reduction Report'!A9)</f>
        <v>0</v>
      </c>
      <c r="C9" s="115">
        <f>COUNTIFS('SERVICE ENTRY'!$AW$4:$AW$1200,'Barriers Reduction Report'!A9,'SERVICE ENTRY'!$G$4:$G$1200,"American Indian or Alaska Native")+COUNTIFS('SERVICE ENTRY'!$AX$4:$AX$1200,'Barriers Reduction Report'!A9,'SERVICE ENTRY'!$G$4:$G$1200,"American Indian or Alaska Native")+COUNTIFS('SERVICE ENTRY'!$AY$4:$AY$1200,'Barriers Reduction Report'!A9,'SERVICE ENTRY'!$G$4:$G$1200,"American Indian or Alaska Native")+COUNTIFS('SERVICE ENTRY'!$AZ$4:$AZ$1200,'Barriers Reduction Report'!A9,'SERVICE ENTRY'!$G$4:$G$1200,"American Indian or Alaska Native")+COUNTIFS('SERVICE ENTRY'!$BA$4:$BA$1200,'Barriers Reduction Report'!A9,'SERVICE ENTRY'!$G$4:$G$1200,"American Indian or Alaska Native")</f>
        <v>0</v>
      </c>
      <c r="D9" s="99">
        <f>COUNTIFS('SERVICE ENTRY'!$AW$4:$AW$1200,'Barriers Reduction Report'!A9,'SERVICE ENTRY'!$G$4:$G$1200,"Asian")+COUNTIFS('SERVICE ENTRY'!$AX$4:$AX$1200,'Barriers Reduction Report'!A9,'SERVICE ENTRY'!$G$4:$G$1200,"Asian")+COUNTIFS('SERVICE ENTRY'!$AY$4:$AY$1200,'Barriers Reduction Report'!A9,'SERVICE ENTRY'!$G$4:$G$1200,"Asian")+COUNTIFS('SERVICE ENTRY'!$AZ$4:$AZ$1200,'Barriers Reduction Report'!A9,'SERVICE ENTRY'!$G$4:$G$1200,"Asian")+COUNTIFS('SERVICE ENTRY'!$BA$4:$BA$1200,'Barriers Reduction Report'!A9,'SERVICE ENTRY'!$G$4:$G$1200,"Asian")</f>
        <v>0</v>
      </c>
      <c r="E9" s="99">
        <f>COUNTIFS('SERVICE ENTRY'!$AW$4:$AW$1200,'Barriers Reduction Report'!A9,'SERVICE ENTRY'!$G$4:$G$1200,"Black/African-American")+COUNTIFS('SERVICE ENTRY'!$AX$4:$AX$1200,'Barriers Reduction Report'!A9,'SERVICE ENTRY'!$G$4:$G$1200,"Black/African-American")+COUNTIFS('SERVICE ENTRY'!$AY$4:$AY$1200,'Barriers Reduction Report'!A9,'SERVICE ENTRY'!$G$4:$G$1200,"Black/African-American")+COUNTIFS('SERVICE ENTRY'!$AZ$4:$AZ$1200,'Barriers Reduction Report'!A9,'SERVICE ENTRY'!$G$4:$G$1200,"Black/African-American")+COUNTIFS('SERVICE ENTRY'!$BA$4:$BA$1200,'Barriers Reduction Report'!A9,'SERVICE ENTRY'!$G$4:$G$1200,"Black/African-American")</f>
        <v>0</v>
      </c>
      <c r="F9" s="99">
        <f>COUNTIFS('SERVICE ENTRY'!$AW$4:$AW$1200,'Barriers Reduction Report'!A9,'SERVICE ENTRY'!$G$4:$G$1200,"Middle Eastern or North African")+COUNTIFS('SERVICE ENTRY'!$AX$4:$AX$1200,'Barriers Reduction Report'!A9,'SERVICE ENTRY'!$G$4:$G$1200,"Middle Eastern or North African")+COUNTIFS('SERVICE ENTRY'!$AY$4:$AY$1200,'Barriers Reduction Report'!A9,'SERVICE ENTRY'!$G$4:$G$1200,"Middle Eastern or North African")+COUNTIFS('SERVICE ENTRY'!$AZ$4:$AZ$1200,'Barriers Reduction Report'!A9,'SERVICE ENTRY'!$G$4:$G$1200,"Middle Eastern or North African")+COUNTIFS('SERVICE ENTRY'!$BA$4:$BA$1200,'Barriers Reduction Report'!A9,'SERVICE ENTRY'!$G$4:$G$1200,"Middle Eastern or North African")</f>
        <v>0</v>
      </c>
      <c r="G9" s="118">
        <f>COUNTIFS('SERVICE ENTRY'!$AW$4:$AW$1200,'Barriers Reduction Report'!A9,'SERVICE ENTRY'!$G$4:$G$1200,"Native Hawaiian or Pacific Islander")+COUNTIFS('SERVICE ENTRY'!$AX$4:$AX$1200,'Barriers Reduction Report'!A9,'SERVICE ENTRY'!$G$4:$G$1200,"Native Hawaiian or Pacific Islander")+COUNTIFS('SERVICE ENTRY'!$AY$4:$AY$1200,'Barriers Reduction Report'!A9,'SERVICE ENTRY'!$G$4:$G$1200,"Native Hawaiian or Pacific Islander")+COUNTIFS('SERVICE ENTRY'!$AZ$4:$AZ$1200,'Barriers Reduction Report'!A9,'SERVICE ENTRY'!$G$4:$G$1200,"Native Hawaiian or Pacific Islander")+COUNTIFS('SERVICE ENTRY'!$BA$4:$BA$1200,'Barriers Reduction Report'!A9,'SERVICE ENTRY'!$G$4:$G$1200,"Native Hawaiian or Pacific Islander")</f>
        <v>0</v>
      </c>
      <c r="H9" s="118">
        <f>COUNTIFS('SERVICE ENTRY'!$AW$4:$AW$1200,'Barriers Reduction Report'!A9,'SERVICE ENTRY'!$G$4:$G$1200,"White")+COUNTIFS('SERVICE ENTRY'!$AX$4:$AX$1200,'Barriers Reduction Report'!A9,'SERVICE ENTRY'!$G$4:$G$1200,"White")+COUNTIFS('SERVICE ENTRY'!$AY$4:$AY$1200,'Barriers Reduction Report'!A9,'SERVICE ENTRY'!$G$4:$G$1200,"White")+COUNTIFS('SERVICE ENTRY'!$AZ$4:$AZ$1200,'Barriers Reduction Report'!A9,'SERVICE ENTRY'!$G$4:$G$1200,"White")+COUNTIFS('SERVICE ENTRY'!$BA$4:$BA$1200,'Barriers Reduction Report'!A9,'SERVICE ENTRY'!$G$4:$G$1200,"White")</f>
        <v>0</v>
      </c>
      <c r="I9" s="117">
        <f>COUNTIFS('SERVICE ENTRY'!$AW$4:$AW$1200,'Barriers Reduction Report'!A9,'SERVICE ENTRY'!$G$4:$G$1200,"Unknown or Other")+COUNTIFS('SERVICE ENTRY'!$AX$4:$AX$1200,'Barriers Reduction Report'!A9,'SERVICE ENTRY'!$G$4:$G$1200,"Unknown or Other")+COUNTIFS('SERVICE ENTRY'!$AY$4:$AY$1200,'Barriers Reduction Report'!A9,'SERVICE ENTRY'!$G$4:$G$1200,"Unknown or Other")+COUNTIFS('SERVICE ENTRY'!$AZ$4:$AZ$1200,'Barriers Reduction Report'!A9,'SERVICE ENTRY'!$G$4:$G$1200,"Unknown or Other")+COUNTIFS('SERVICE ENTRY'!$BA$4:$BA$1200,'Barriers Reduction Report'!A9,'SERVICE ENTRY'!$G$4:$G$1200,"Unknown or Other")</f>
        <v>0</v>
      </c>
      <c r="J9" s="120">
        <f>COUNTIFS('SERVICE ENTRY'!$AW$4:$AW$1200,'Barriers Reduction Report'!A9,'SERVICE ENTRY'!$F$4:$F$1200,"Colombian")+COUNTIFS('SERVICE ENTRY'!$AX$4:$AX$1200,'Barriers Reduction Report'!A9,'SERVICE ENTRY'!$F$4:$F$1200,"Colombian")+COUNTIFS('SERVICE ENTRY'!$AY$4:$AY$1200,'Barriers Reduction Report'!A9,'SERVICE ENTRY'!$F$4:$F$1200,"Colombian")+COUNTIFS('SERVICE ENTRY'!$AZ$4:$AZ$1200,'Barriers Reduction Report'!A9,'SERVICE ENTRY'!$F$4:$F$1200,"Colombian")+COUNTIFS('SERVICE ENTRY'!$BA$4:$BA$1200,'Barriers Reduction Report'!A9,'SERVICE ENTRY'!$F$4:$F$1200,"Colombian")+COUNTIFS('SERVICE ENTRY'!$AW$4:$AW$1200,'Barriers Reduction Report'!A9,'SERVICE ENTRY'!$F$4:$F$1200,"Cuban")+COUNTIFS('SERVICE ENTRY'!$AX$4:$AX$1200,'Barriers Reduction Report'!A9,'SERVICE ENTRY'!$F$4:$F$1200,"Cuban")+COUNTIFS('SERVICE ENTRY'!$AY$4:$AY$1200,'Barriers Reduction Report'!A9,'SERVICE ENTRY'!$F$4:$F$1200,"Cuban")+COUNTIFS('SERVICE ENTRY'!$AZ$4:$AZ$1200,'Barriers Reduction Report'!A9,'SERVICE ENTRY'!$F$4:$F$1200,"Cuban")+COUNTIFS('SERVICE ENTRY'!$BA$4:$BA$1200,'Barriers Reduction Report'!A9,'SERVICE ENTRY'!$F$4:$F$1200,"Cuban")+COUNTIFS('SERVICE ENTRY'!$AW$4:$AW$1200,'Barriers Reduction Report'!A9,'SERVICE ENTRY'!$F$4:$F$1200,"Dominican")+COUNTIFS('SERVICE ENTRY'!$AX$4:$AX$1200,'Barriers Reduction Report'!A9,'SERVICE ENTRY'!$F$4:$F$1200,"Dominican")+COUNTIFS('SERVICE ENTRY'!$AY$4:$AY$1200,'Barriers Reduction Report'!A9,'SERVICE ENTRY'!$F$4:$F$1200,"Dominican")+COUNTIFS('SERVICE ENTRY'!$AZ$4:$AZ$1200,'Barriers Reduction Report'!A9,'SERVICE ENTRY'!$F$4:$F$1200,"Dominican")+COUNTIFS('SERVICE ENTRY'!$BA$4:$BA$1200,'Barriers Reduction Report'!A9,'SERVICE ENTRY'!$F$4:$F$1200,"Dominican")+COUNTIFS('SERVICE ENTRY'!$AW$4:$AW$1200,'Barriers Reduction Report'!A9,'SERVICE ENTRY'!$F$4:$F$1200,"Mexican/Mexican-American/Chicano")+COUNTIFS('SERVICE ENTRY'!$AX$4:$AX$1200,'Barriers Reduction Report'!A9,'SERVICE ENTRY'!$F$4:$F$1200,"Mexican/Mexican-American/Chicano")+COUNTIFS('SERVICE ENTRY'!$AY$4:$AY$1200,'Barriers Reduction Report'!A9,'SERVICE ENTRY'!$F$4:$F$1200,"Mexican/Mexican-American/Chicano")+COUNTIFS('SERVICE ENTRY'!$AZ$4:$AZ$1200,'Barriers Reduction Report'!A9,'SERVICE ENTRY'!$F$4:$F$1200,"Mexican/Mexican-American/Chicano")+COUNTIFS('SERVICE ENTRY'!$BA$4:$BA$1200,'Barriers Reduction Report'!A9,'SERVICE ENTRY'!$F$4:$F$1200,"Mexican/Mexican-American/Chicano")+COUNTIFS('SERVICE ENTRY'!$AW$4:$AW$1200,'Barriers Reduction Report'!A9,'SERVICE ENTRY'!$F$4:$F$1200,"Puerto Rican")+COUNTIFS('SERVICE ENTRY'!$AX$4:$AX$1200,'Barriers Reduction Report'!A9,'SERVICE ENTRY'!$F$4:$F$1200,"Puerto Rican")+COUNTIFS('SERVICE ENTRY'!$AY$4:$AY$1200,'Barriers Reduction Report'!A9,'SERVICE ENTRY'!$F$4:$F$1200,"Puerto Rican")+COUNTIFS('SERVICE ENTRY'!$AZ$4:$AZ$1200,'Barriers Reduction Report'!A9,'SERVICE ENTRY'!$F$4:$F$1200,"Puerto Rican")+COUNTIFS('SERVICE ENTRY'!$BA$4:$BA$1200,'Barriers Reduction Report'!A9,'SERVICE ENTRY'!$F$4:$F$1200,"Puerto Rican")+COUNTIFS('SERVICE ENTRY'!$AW$4:$AW$1200,'Barriers Reduction Report'!A9,'SERVICE ENTRY'!$F$4:$F$1200,"Salvadoran")+COUNTIFS('SERVICE ENTRY'!$AX$4:$AX$1200,'Barriers Reduction Report'!A9,'SERVICE ENTRY'!$F$4:$F$1200,"Salvadoran")+COUNTIFS('SERVICE ENTRY'!$AY$4:$AY$1200,'Barriers Reduction Report'!A9,'SERVICE ENTRY'!$F$4:$F$1200,"Salvadoran")+COUNTIFS('SERVICE ENTRY'!$AZ$4:$AZ$1200,'Barriers Reduction Report'!A9,'SERVICE ENTRY'!$F$4:$F$1200,"Salvadoran")+COUNTIFS('SERVICE ENTRY'!$BA$4:$BA$1200,'Barriers Reduction Report'!A9,'SERVICE ENTRY'!$F$4:$F$1200,"Salvadoran")+COUNTIFS('SERVICE ENTRY'!$AW$4:$AW$1200,'Barriers Reduction Report'!A9,'SERVICE ENTRY'!$F$4:$F$1200,"Other Hispanic/Latino/Spanish origin")+COUNTIFS('SERVICE ENTRY'!$AX$4:$AX$1200,'Barriers Reduction Report'!A9,'SERVICE ENTRY'!$F$4:$F$1200,"Other Hispanic/Latino/Spanish origin")+COUNTIFS('SERVICE ENTRY'!$AY$4:$AY$1200,'Barriers Reduction Report'!A9,'SERVICE ENTRY'!$F$4:$F$1200,"Other Hispanic/Latino/Spanish origin")+COUNTIFS('SERVICE ENTRY'!$AZ$4:$AZ$1200,'Barriers Reduction Report'!A9,'SERVICE ENTRY'!$F$4:$F$1200,"Other Hispanic/Latino/Spanish origin")+COUNTIFS('SERVICE ENTRY'!$BA$4:$BA$1200,'Barriers Reduction Report'!A9,'SERVICE ENTRY'!$F$4:$F$1200,"Other Hispanic/Latino/Spanish origin")</f>
        <v>0</v>
      </c>
      <c r="K9" s="99">
        <f>COUNTIFS('SERVICE ENTRY'!$AW$4:$AW$1200,'Barriers Reduction Report'!A9,'SERVICE ENTRY'!$F$4:$F$1200,"Not of Hispanic/Latino/Spanish origin")+COUNTIFS('SERVICE ENTRY'!$AX$4:$AX$1200,'Barriers Reduction Report'!A9,'SERVICE ENTRY'!$F$4:$F$1200,"Not of Hispanic/Latino/Spanish origin")+COUNTIFS('SERVICE ENTRY'!$AY$4:$AY$1200,'Barriers Reduction Report'!A9,'SERVICE ENTRY'!$F$4:$F$1200,"Not of Hispanic/Latino/Spanish origin")+COUNTIFS('SERVICE ENTRY'!$AZ$4:$AZ$1200,'Barriers Reduction Report'!A9,'SERVICE ENTRY'!$F$4:$F$1200,"Not of Hispanic/Latino/Spanish origin")+COUNTIFS('SERVICE ENTRY'!$BA$4:$BA$1200,'Barriers Reduction Report'!A9,'SERVICE ENTRY'!$F$4:$F$1200,"Not of Hispanic/Latino/Spanish origin")</f>
        <v>0</v>
      </c>
      <c r="L9" s="234">
        <f>COUNTIFS('SERVICE ENTRY'!$AW$4:$AW$1200,'Barriers Reduction Report'!A9,'SERVICE ENTRY'!$F$4:$F$1200,"Unknown or Other")+COUNTIFS('SERVICE ENTRY'!$AX$4:$AX$1200,'Barriers Reduction Report'!A9,'SERVICE ENTRY'!$F$4:$F$1200,"Unknown or Other")+COUNTIFS('SERVICE ENTRY'!$AY$4:$AY$1200,'Barriers Reduction Report'!A9,'SERVICE ENTRY'!$F$4:$F$1200,"Unknown or Other")+COUNTIFS('SERVICE ENTRY'!$AZ$4:$AZ$1200,'Barriers Reduction Report'!A9,'SERVICE ENTRY'!$F$4:$F$1200,"Unknown or Other")+COUNTIFS('SERVICE ENTRY'!$BA$4:$BA$1200,'Barriers Reduction Report'!A9,'SERVICE ENTRY'!$F$4:$F$1200,"Unknown or Other")</f>
        <v>0</v>
      </c>
    </row>
    <row r="10" spans="1:12" s="54" customFormat="1" ht="27" customHeight="1" thickBot="1" x14ac:dyDescent="0.3">
      <c r="A10" s="365" t="s">
        <v>267</v>
      </c>
      <c r="B10" s="367">
        <f>SUM(B4:B9)</f>
        <v>0</v>
      </c>
      <c r="C10" s="198">
        <f>SUM(C5:C9)</f>
        <v>0</v>
      </c>
      <c r="D10" s="215">
        <f t="shared" ref="D10:L10" si="0">SUM(D5:D9)</f>
        <v>0</v>
      </c>
      <c r="E10" s="215">
        <f t="shared" si="0"/>
        <v>0</v>
      </c>
      <c r="F10" s="215">
        <f t="shared" si="0"/>
        <v>0</v>
      </c>
      <c r="G10" s="215">
        <f t="shared" si="0"/>
        <v>0</v>
      </c>
      <c r="H10" s="215">
        <f t="shared" si="0"/>
        <v>0</v>
      </c>
      <c r="I10" s="217">
        <f t="shared" si="0"/>
        <v>0</v>
      </c>
      <c r="J10" s="198">
        <f t="shared" si="0"/>
        <v>0</v>
      </c>
      <c r="K10" s="215">
        <f t="shared" si="0"/>
        <v>0</v>
      </c>
      <c r="L10" s="216">
        <f t="shared" si="0"/>
        <v>0</v>
      </c>
    </row>
    <row r="11" spans="1:12" s="54" customFormat="1" ht="36" customHeight="1" thickBot="1" x14ac:dyDescent="0.3">
      <c r="A11" s="366"/>
      <c r="B11" s="368"/>
      <c r="C11" s="368">
        <f>SUM(C10:I10)</f>
        <v>0</v>
      </c>
      <c r="D11" s="373"/>
      <c r="E11" s="373"/>
      <c r="F11" s="373"/>
      <c r="G11" s="373"/>
      <c r="H11" s="373"/>
      <c r="I11" s="374"/>
      <c r="J11" s="373">
        <f>SUM(J10:L10)</f>
        <v>0</v>
      </c>
      <c r="K11" s="373"/>
      <c r="L11" s="374"/>
    </row>
    <row r="12" spans="1:12" s="54" customFormat="1" x14ac:dyDescent="0.2">
      <c r="A12" s="16"/>
      <c r="B12" s="16"/>
      <c r="C12" s="16"/>
      <c r="D12" s="16"/>
      <c r="E12" s="16"/>
      <c r="F12" s="16"/>
      <c r="G12" s="16"/>
      <c r="H12" s="16"/>
      <c r="I12" s="16"/>
      <c r="J12" s="16"/>
    </row>
    <row r="13" spans="1:12" s="54" customFormat="1" x14ac:dyDescent="0.2">
      <c r="A13" s="16"/>
      <c r="B13" s="16"/>
      <c r="C13" s="16"/>
      <c r="D13" s="16"/>
      <c r="E13" s="16"/>
      <c r="F13" s="16"/>
      <c r="G13" s="16"/>
      <c r="H13" s="16"/>
      <c r="I13" s="16"/>
      <c r="J13" s="16"/>
    </row>
    <row r="14" spans="1:12" s="54" customFormat="1" x14ac:dyDescent="0.2">
      <c r="A14" s="16"/>
      <c r="B14" s="16"/>
      <c r="C14" s="16"/>
      <c r="D14" s="16"/>
      <c r="E14" s="16"/>
      <c r="F14" s="16"/>
      <c r="G14" s="16"/>
      <c r="H14" s="16"/>
      <c r="I14" s="16"/>
      <c r="J14" s="16"/>
    </row>
    <row r="15" spans="1:12" s="54" customFormat="1" x14ac:dyDescent="0.2">
      <c r="A15" s="16"/>
      <c r="B15" s="16"/>
      <c r="C15" s="16"/>
      <c r="D15" s="16"/>
      <c r="E15" s="16"/>
      <c r="F15" s="16"/>
      <c r="G15" s="16"/>
      <c r="H15" s="16"/>
      <c r="I15" s="16"/>
      <c r="J15" s="16"/>
    </row>
    <row r="16" spans="1:12" s="54" customFormat="1" x14ac:dyDescent="0.2">
      <c r="A16" s="16"/>
      <c r="B16" s="16"/>
      <c r="C16" s="16"/>
      <c r="D16" s="16"/>
      <c r="E16" s="16"/>
      <c r="F16" s="16"/>
      <c r="G16" s="16"/>
      <c r="H16" s="16"/>
      <c r="I16" s="16"/>
      <c r="J16" s="16"/>
    </row>
    <row r="17" spans="1:10" s="54" customFormat="1" x14ac:dyDescent="0.2">
      <c r="A17" s="16"/>
      <c r="B17" s="16"/>
      <c r="C17" s="16"/>
      <c r="D17" s="16"/>
      <c r="E17" s="16"/>
      <c r="F17" s="16"/>
      <c r="G17" s="16"/>
      <c r="H17" s="16"/>
      <c r="I17" s="16"/>
      <c r="J17" s="16"/>
    </row>
    <row r="18" spans="1:10" s="54" customFormat="1" x14ac:dyDescent="0.2">
      <c r="A18" s="16"/>
      <c r="B18" s="16"/>
      <c r="C18" s="16"/>
      <c r="D18" s="16"/>
      <c r="E18" s="16"/>
      <c r="F18" s="16"/>
      <c r="G18" s="16"/>
      <c r="H18" s="16"/>
      <c r="I18" s="16"/>
      <c r="J18" s="16"/>
    </row>
    <row r="19" spans="1:10" s="54" customFormat="1" x14ac:dyDescent="0.2">
      <c r="A19" s="16"/>
      <c r="B19" s="16"/>
      <c r="C19" s="16"/>
      <c r="D19" s="16"/>
      <c r="E19" s="16"/>
      <c r="F19" s="16"/>
      <c r="G19" s="16"/>
      <c r="H19" s="16"/>
      <c r="I19" s="16"/>
      <c r="J19" s="16"/>
    </row>
    <row r="20" spans="1:10" s="54" customFormat="1" x14ac:dyDescent="0.2">
      <c r="A20" s="16"/>
      <c r="B20" s="16"/>
      <c r="C20" s="16"/>
      <c r="D20" s="16"/>
      <c r="E20" s="16"/>
      <c r="F20" s="16"/>
      <c r="G20" s="16"/>
      <c r="H20" s="16"/>
      <c r="I20" s="16"/>
      <c r="J20" s="16"/>
    </row>
  </sheetData>
  <sheetProtection algorithmName="SHA-512" hashValue="uF/ApSdIFuHXbJ/ZX1r0latnZ+Blhu5OtvWfnfDeDYVg7wSLgz6XNsasTSzLyrC1/LDYmZadt99APTmtDsdLAA==" saltValue="T8fpMF5LP7cO+Ya32YFmjw==" spinCount="100000" sheet="1" objects="1" scenarios="1"/>
  <mergeCells count="7">
    <mergeCell ref="A1:L2"/>
    <mergeCell ref="J3:L3"/>
    <mergeCell ref="C3:I3"/>
    <mergeCell ref="A10:A11"/>
    <mergeCell ref="B10:B11"/>
    <mergeCell ref="C11:I11"/>
    <mergeCell ref="J11:L1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39997558519241921"/>
  </sheetPr>
  <dimension ref="A1:N98"/>
  <sheetViews>
    <sheetView topLeftCell="A64" zoomScale="70" zoomScaleNormal="70" workbookViewId="0">
      <selection activeCell="M61" sqref="M61:N64"/>
    </sheetView>
  </sheetViews>
  <sheetFormatPr defaultRowHeight="14.25" x14ac:dyDescent="0.2"/>
  <cols>
    <col min="1" max="1" width="38.42578125" style="15" customWidth="1"/>
    <col min="2" max="2" width="38.28515625" style="15" customWidth="1"/>
    <col min="3" max="3" width="29.28515625" style="15" customWidth="1"/>
    <col min="4" max="4" width="29.5703125" style="15" customWidth="1"/>
    <col min="5" max="5" width="26" style="15" customWidth="1"/>
    <col min="6" max="7" width="23.140625" style="15" customWidth="1"/>
    <col min="8" max="9" width="21.140625" style="15" customWidth="1"/>
    <col min="10" max="10" width="20.7109375" style="15" customWidth="1"/>
    <col min="11" max="11" width="26.7109375" style="15" customWidth="1"/>
    <col min="12" max="12" width="23.5703125" style="15" customWidth="1"/>
    <col min="13" max="13" width="9.140625" style="3"/>
    <col min="14" max="14" width="12.42578125" style="3" customWidth="1"/>
    <col min="15" max="16384" width="9.140625" style="3"/>
  </cols>
  <sheetData>
    <row r="1" spans="1:12" s="90" customFormat="1" ht="41.25" customHeight="1" x14ac:dyDescent="0.2">
      <c r="A1" s="399" t="s">
        <v>357</v>
      </c>
      <c r="B1" s="399"/>
      <c r="C1" s="399"/>
      <c r="D1" s="399"/>
      <c r="E1" s="399"/>
      <c r="F1" s="399"/>
      <c r="G1" s="399"/>
      <c r="H1" s="399"/>
      <c r="I1" s="399"/>
      <c r="J1" s="399"/>
      <c r="K1" s="399"/>
      <c r="L1" s="181"/>
    </row>
    <row r="2" spans="1:12" s="87" customFormat="1" ht="29.25" customHeight="1" x14ac:dyDescent="0.25">
      <c r="A2" s="447" t="s">
        <v>358</v>
      </c>
      <c r="B2" s="448"/>
      <c r="C2" s="448"/>
      <c r="D2" s="448"/>
      <c r="E2" s="89"/>
      <c r="F2" s="89"/>
      <c r="G2" s="89"/>
      <c r="H2" s="88"/>
      <c r="I2" s="88"/>
    </row>
    <row r="3" spans="1:12" s="87" customFormat="1" ht="84" customHeight="1" x14ac:dyDescent="0.2">
      <c r="A3" s="5" t="s">
        <v>255</v>
      </c>
      <c r="B3" s="5" t="s">
        <v>3487</v>
      </c>
      <c r="C3" s="5" t="s">
        <v>3484</v>
      </c>
      <c r="D3" s="5" t="s">
        <v>3485</v>
      </c>
      <c r="E3" s="88"/>
      <c r="F3" s="88"/>
      <c r="G3" s="88"/>
    </row>
    <row r="4" spans="1:12" s="87" customFormat="1" ht="54" customHeight="1" x14ac:dyDescent="0.25">
      <c r="A4" s="68" t="s">
        <v>3486</v>
      </c>
      <c r="B4" s="252">
        <f>SUM(COUNTIFS('SERVICE ENTRY'!$BN$4:$BN$1200,{"*Coordination of care to receive diagnostic services*","*Coordination of care to begin treatment services*"}))</f>
        <v>0</v>
      </c>
      <c r="C4" s="252">
        <f>COUNTIF('SERVICE ENTRY'!$BN$4:$BN$1200,"*Coordination of care to receive diagnostic services*")+COUNTIF('SERVICE ENTRY'!$BO$4:$BO$1200,"*Coordination of care to receive diagnostic services*")</f>
        <v>0</v>
      </c>
      <c r="D4" s="252">
        <f>COUNTIF('SERVICE ENTRY'!$BN$4:$BN$1200,"*Coordination of care to begin treatment services*")+COUNTIF('SERVICE ENTRY'!$BO$4:$BO$1200,"*Coordination of care to begin treatment services*")</f>
        <v>0</v>
      </c>
      <c r="E4" s="88"/>
      <c r="F4" s="88"/>
      <c r="G4" s="88"/>
    </row>
    <row r="5" spans="1:12" s="87" customFormat="1" ht="11.25" customHeight="1" x14ac:dyDescent="0.2">
      <c r="A5" s="90"/>
      <c r="B5" s="89"/>
      <c r="C5" s="89"/>
      <c r="D5" s="89"/>
      <c r="E5" s="89"/>
      <c r="F5" s="89"/>
      <c r="G5" s="89"/>
      <c r="H5" s="89"/>
      <c r="I5" s="89"/>
      <c r="J5" s="89"/>
      <c r="K5" s="88"/>
      <c r="L5" s="88"/>
    </row>
    <row r="6" spans="1:12" s="87" customFormat="1" ht="18.75" customHeight="1" x14ac:dyDescent="0.2">
      <c r="A6" s="89"/>
      <c r="B6" s="89"/>
      <c r="C6" s="89"/>
      <c r="D6" s="89"/>
      <c r="E6" s="89"/>
      <c r="F6" s="89"/>
      <c r="G6" s="89"/>
      <c r="H6" s="89"/>
      <c r="I6" s="89"/>
      <c r="J6" s="89"/>
      <c r="K6" s="88"/>
      <c r="L6" s="88"/>
    </row>
    <row r="7" spans="1:12" ht="37.5" customHeight="1" x14ac:dyDescent="0.2">
      <c r="A7" s="437" t="s">
        <v>290</v>
      </c>
      <c r="B7" s="438"/>
      <c r="C7" s="438"/>
      <c r="D7" s="438"/>
      <c r="E7" s="438"/>
      <c r="F7" s="438"/>
      <c r="G7" s="438"/>
      <c r="H7" s="438"/>
      <c r="I7" s="438"/>
      <c r="J7" s="438"/>
      <c r="K7" s="438"/>
      <c r="L7" s="184"/>
    </row>
    <row r="8" spans="1:12" ht="37.5" customHeight="1" x14ac:dyDescent="0.2">
      <c r="A8" s="154" t="s">
        <v>255</v>
      </c>
      <c r="B8" s="61" t="s">
        <v>254</v>
      </c>
      <c r="C8" s="439" t="s">
        <v>326</v>
      </c>
      <c r="D8" s="440"/>
      <c r="E8" s="440"/>
      <c r="F8" s="440"/>
      <c r="G8" s="440"/>
      <c r="H8" s="440"/>
      <c r="I8" s="441"/>
      <c r="J8" s="442" t="s">
        <v>327</v>
      </c>
      <c r="K8" s="442"/>
      <c r="L8" s="442"/>
    </row>
    <row r="9" spans="1:12" ht="75.75" customHeight="1" x14ac:dyDescent="0.2">
      <c r="A9" s="155" t="s">
        <v>77</v>
      </c>
      <c r="B9" s="121" t="s">
        <v>183</v>
      </c>
      <c r="C9" s="7" t="s">
        <v>250</v>
      </c>
      <c r="D9" s="7" t="s">
        <v>251</v>
      </c>
      <c r="E9" s="7" t="s">
        <v>246</v>
      </c>
      <c r="F9" s="7" t="s">
        <v>373</v>
      </c>
      <c r="G9" s="7" t="s">
        <v>252</v>
      </c>
      <c r="H9" s="7" t="s">
        <v>248</v>
      </c>
      <c r="I9" s="201" t="s">
        <v>388</v>
      </c>
      <c r="J9" s="202" t="s">
        <v>247</v>
      </c>
      <c r="K9" s="203" t="s">
        <v>324</v>
      </c>
      <c r="L9" s="201" t="s">
        <v>388</v>
      </c>
    </row>
    <row r="10" spans="1:12" s="54" customFormat="1" ht="16.5" customHeight="1" x14ac:dyDescent="0.25">
      <c r="A10" s="68" t="s">
        <v>98</v>
      </c>
      <c r="B10" s="106">
        <f>COUNTIF('SERVICE ENTRY'!$BB$4:$BB$1200,'Pt Nav-CareCoor-CaseMgt Report'!A10)</f>
        <v>0</v>
      </c>
      <c r="C10" s="92">
        <f>COUNTIFS('SERVICE ENTRY'!$BB$4:$BB$1200,'Pt Nav-CareCoor-CaseMgt Report'!A10,'SERVICE ENTRY'!$G$4:$G$1200,"American Indian or Alaska Native")</f>
        <v>0</v>
      </c>
      <c r="D10" s="42">
        <f>COUNTIFS('SERVICE ENTRY'!$BB$4:$BB$1200,'Pt Nav-CareCoor-CaseMgt Report'!A10,'SERVICE ENTRY'!$G$4:$G$1200,"Asian")</f>
        <v>0</v>
      </c>
      <c r="E10" s="42">
        <f>COUNTIFS('SERVICE ENTRY'!$BB$4:$BB$1200,'Pt Nav-CareCoor-CaseMgt Report'!A10,'SERVICE ENTRY'!$G$4:$G$1200,"Black/African-American")</f>
        <v>0</v>
      </c>
      <c r="F10" s="42">
        <f>COUNTIFS('SERVICE ENTRY'!$BB$4:$BB$1200,'Pt Nav-CareCoor-CaseMgt Report'!A10,'SERVICE ENTRY'!$G$4:$G$1200,"Middle Eastern or North African")</f>
        <v>0</v>
      </c>
      <c r="G10" s="100">
        <f>COUNTIFS('SERVICE ENTRY'!$BB$4:$BB$1200,'Pt Nav-CareCoor-CaseMgt Report'!A10,'SERVICE ENTRY'!$G$4:$G$1200,"Native Hawaiian or Pacific Islander")</f>
        <v>0</v>
      </c>
      <c r="H10" s="100">
        <f>COUNTIFS('SERVICE ENTRY'!$BB$4:$BB$1200,'Pt Nav-CareCoor-CaseMgt Report'!A10,'SERVICE ENTRY'!$G$4:$G$1200,"White")</f>
        <v>0</v>
      </c>
      <c r="I10" s="106">
        <f>COUNTIFS('SERVICE ENTRY'!$BB$4:$BB$1200,'Pt Nav-CareCoor-CaseMgt Report'!A10,'SERVICE ENTRY'!$G$4:$G$1200,"Unknown or Other")</f>
        <v>0</v>
      </c>
      <c r="J10" s="102">
        <f>COUNTIFS('SERVICE ENTRY'!$BB$4:$BB$1200,'Pt Nav-CareCoor-CaseMgt Report'!A10,'SERVICE ENTRY'!$F$4:$F$1200,"Colombian")+COUNTIFS('SERVICE ENTRY'!$BB$4:$BB$1200,'Pt Nav-CareCoor-CaseMgt Report'!A10,'SERVICE ENTRY'!$F$4:$F$1200,"Cuban")+COUNTIFS('SERVICE ENTRY'!$BB$4:$BB$1200,'Pt Nav-CareCoor-CaseMgt Report'!A10,'SERVICE ENTRY'!$F$4:$F$1200,"Dominican")+COUNTIFS('SERVICE ENTRY'!$BB$4:$BB$1200,'Pt Nav-CareCoor-CaseMgt Report'!A10,'SERVICE ENTRY'!$F$4:$F$1200,"Mexican/Mexican-American/Chicano")+COUNTIFS('SERVICE ENTRY'!$BB$4:$BB$1200,'Pt Nav-CareCoor-CaseMgt Report'!A10,'SERVICE ENTRY'!$F$4:$F$1200,"Puerto Rican")+COUNTIFS('SERVICE ENTRY'!$BB$4:$BB$1200,'Pt Nav-CareCoor-CaseMgt Report'!A10,'SERVICE ENTRY'!$F$4:$F$1200,"Salvadoran")+COUNTIFS('SERVICE ENTRY'!$BB$4:$BB$1200,'Pt Nav-CareCoor-CaseMgt Report'!A10,'SERVICE ENTRY'!$F$4:$F$1200,"Other Hispanic/Latino/Spanish origin")</f>
        <v>0</v>
      </c>
      <c r="K10" s="42">
        <f>COUNTIFS('SERVICE ENTRY'!$BB$4:$BB$1200,'Pt Nav-CareCoor-CaseMgt Report'!A10,'SERVICE ENTRY'!$F$4:$F$1200,"Not of Hispanic/Latino/Spanish origin")</f>
        <v>0</v>
      </c>
      <c r="L10" s="42">
        <f>COUNTIFS('SERVICE ENTRY'!$BB$4:$BB$1200,'Pt Nav-CareCoor-CaseMgt Report'!A10,'SERVICE ENTRY'!$F$4:$F$1200,"Unknown or Other")</f>
        <v>0</v>
      </c>
    </row>
    <row r="11" spans="1:12" s="54" customFormat="1" ht="15" x14ac:dyDescent="0.25">
      <c r="A11" s="68" t="s">
        <v>70</v>
      </c>
      <c r="B11" s="106">
        <f>COUNTIF('SERVICE ENTRY'!$BB$4:$BB$1200,'Pt Nav-CareCoor-CaseMgt Report'!A11)</f>
        <v>0</v>
      </c>
      <c r="C11" s="92">
        <f>COUNTIFS('SERVICE ENTRY'!$BB$4:$BB$1200,'Pt Nav-CareCoor-CaseMgt Report'!A11,'SERVICE ENTRY'!$G$4:$G$1200,"American Indian or Alaska Native")</f>
        <v>0</v>
      </c>
      <c r="D11" s="42">
        <f>COUNTIFS('SERVICE ENTRY'!$BB$4:$BB$1200,'Pt Nav-CareCoor-CaseMgt Report'!A11,'SERVICE ENTRY'!$G$4:$G$1200,"Asian")</f>
        <v>0</v>
      </c>
      <c r="E11" s="42">
        <f>COUNTIFS('SERVICE ENTRY'!$BB$4:$BB$1200,'Pt Nav-CareCoor-CaseMgt Report'!A11,'SERVICE ENTRY'!$G$4:$G$1200,"Black/African-American")</f>
        <v>0</v>
      </c>
      <c r="F11" s="42">
        <f>COUNTIFS('SERVICE ENTRY'!$BB$4:$BB$1200,'Pt Nav-CareCoor-CaseMgt Report'!A11,'SERVICE ENTRY'!$G$4:$G$1200,"Middle Eastern or North African")</f>
        <v>0</v>
      </c>
      <c r="G11" s="100">
        <f>COUNTIFS('SERVICE ENTRY'!$BB$4:$BB$1200,'Pt Nav-CareCoor-CaseMgt Report'!A11,'SERVICE ENTRY'!$G$4:$G$1200,"Native Hawaiian or Pacific Islander")</f>
        <v>0</v>
      </c>
      <c r="H11" s="100">
        <f>COUNTIFS('SERVICE ENTRY'!$BB$4:$BB$1200,'Pt Nav-CareCoor-CaseMgt Report'!A11,'SERVICE ENTRY'!$G$4:$G$1200,"White")</f>
        <v>0</v>
      </c>
      <c r="I11" s="106">
        <f>COUNTIFS('SERVICE ENTRY'!$BB$4:$BB$1200,'Pt Nav-CareCoor-CaseMgt Report'!A11,'SERVICE ENTRY'!$G$4:$G$1200,"Unknown or Other")</f>
        <v>0</v>
      </c>
      <c r="J11" s="102">
        <f>COUNTIFS('SERVICE ENTRY'!$BB$4:$BB$1200,'Pt Nav-CareCoor-CaseMgt Report'!A11,'SERVICE ENTRY'!$F$4:$F$1200,"Colombian")+COUNTIFS('SERVICE ENTRY'!$BB$4:$BB$1200,'Pt Nav-CareCoor-CaseMgt Report'!A11,'SERVICE ENTRY'!$F$4:$F$1200,"Cuban")+COUNTIFS('SERVICE ENTRY'!$BB$4:$BB$1200,'Pt Nav-CareCoor-CaseMgt Report'!A11,'SERVICE ENTRY'!$F$4:$F$1200,"Dominican")+COUNTIFS('SERVICE ENTRY'!$BB$4:$BB$1200,'Pt Nav-CareCoor-CaseMgt Report'!A11,'SERVICE ENTRY'!$F$4:$F$1200,"Mexican/Mexican-American/Chicano")+COUNTIFS('SERVICE ENTRY'!$BB$4:$BB$1200,'Pt Nav-CareCoor-CaseMgt Report'!A11,'SERVICE ENTRY'!$F$4:$F$1200,"Puerto Rican")+COUNTIFS('SERVICE ENTRY'!$BB$4:$BB$1200,'Pt Nav-CareCoor-CaseMgt Report'!A11,'SERVICE ENTRY'!$F$4:$F$1200,"Salvadoran")+COUNTIFS('SERVICE ENTRY'!$BB$4:$BB$1200,'Pt Nav-CareCoor-CaseMgt Report'!A11,'SERVICE ENTRY'!$F$4:$F$1200,"Other Hispanic/Latino/Spanish origin")</f>
        <v>0</v>
      </c>
      <c r="K11" s="42">
        <f>COUNTIFS('SERVICE ENTRY'!$BB$4:$BB$1200,'Pt Nav-CareCoor-CaseMgt Report'!A11,'SERVICE ENTRY'!$F$4:$F$1200,"Not of Hispanic/Latino/Spanish origin")</f>
        <v>0</v>
      </c>
      <c r="L11" s="42">
        <f>COUNTIFS('SERVICE ENTRY'!$BB$4:$BB$1200,'Pt Nav-CareCoor-CaseMgt Report'!A11,'SERVICE ENTRY'!$F$4:$F$1200,"Unknown or Other")</f>
        <v>0</v>
      </c>
    </row>
    <row r="12" spans="1:12" s="54" customFormat="1" ht="15" x14ac:dyDescent="0.25">
      <c r="A12" s="68" t="s">
        <v>72</v>
      </c>
      <c r="B12" s="106">
        <f>COUNTIF('SERVICE ENTRY'!$BB$4:$BB$1200,'Pt Nav-CareCoor-CaseMgt Report'!A12)</f>
        <v>0</v>
      </c>
      <c r="C12" s="92">
        <f>COUNTIFS('SERVICE ENTRY'!$BB$4:$BB$1200,'Pt Nav-CareCoor-CaseMgt Report'!A12,'SERVICE ENTRY'!$G$4:$G$1200,"American Indian or Alaska Native")</f>
        <v>0</v>
      </c>
      <c r="D12" s="42">
        <f>COUNTIFS('SERVICE ENTRY'!$BB$4:$BB$1200,'Pt Nav-CareCoor-CaseMgt Report'!A12,'SERVICE ENTRY'!$G$4:$G$1200,"Asian")</f>
        <v>0</v>
      </c>
      <c r="E12" s="42">
        <f>COUNTIFS('SERVICE ENTRY'!$BB$4:$BB$1200,'Pt Nav-CareCoor-CaseMgt Report'!A12,'SERVICE ENTRY'!$G$4:$G$1200,"Black/African-American")</f>
        <v>0</v>
      </c>
      <c r="F12" s="42">
        <f>COUNTIFS('SERVICE ENTRY'!$BB$4:$BB$1200,'Pt Nav-CareCoor-CaseMgt Report'!A12,'SERVICE ENTRY'!$G$4:$G$1200,"Middle Eastern or North African")</f>
        <v>0</v>
      </c>
      <c r="G12" s="100">
        <f>COUNTIFS('SERVICE ENTRY'!$BB$4:$BB$1200,'Pt Nav-CareCoor-CaseMgt Report'!A12,'SERVICE ENTRY'!$G$4:$G$1200,"Native Hawaiian or Pacific Islander")</f>
        <v>0</v>
      </c>
      <c r="H12" s="100">
        <f>COUNTIFS('SERVICE ENTRY'!$BB$4:$BB$1200,'Pt Nav-CareCoor-CaseMgt Report'!A12,'SERVICE ENTRY'!$G$4:$G$1200,"White")</f>
        <v>0</v>
      </c>
      <c r="I12" s="106">
        <f>COUNTIFS('SERVICE ENTRY'!$BB$4:$BB$1200,'Pt Nav-CareCoor-CaseMgt Report'!A12,'SERVICE ENTRY'!$G$4:$G$1200,"Unknown or Other")</f>
        <v>0</v>
      </c>
      <c r="J12" s="102">
        <f>COUNTIFS('SERVICE ENTRY'!$BB$4:$BB$1200,'Pt Nav-CareCoor-CaseMgt Report'!A12,'SERVICE ENTRY'!$F$4:$F$1200,"Colombian")+COUNTIFS('SERVICE ENTRY'!$BB$4:$BB$1200,'Pt Nav-CareCoor-CaseMgt Report'!A12,'SERVICE ENTRY'!$F$4:$F$1200,"Cuban")+COUNTIFS('SERVICE ENTRY'!$BB$4:$BB$1200,'Pt Nav-CareCoor-CaseMgt Report'!A12,'SERVICE ENTRY'!$F$4:$F$1200,"Dominican")+COUNTIFS('SERVICE ENTRY'!$BB$4:$BB$1200,'Pt Nav-CareCoor-CaseMgt Report'!A12,'SERVICE ENTRY'!$F$4:$F$1200,"Mexican/Mexican-American/Chicano")+COUNTIFS('SERVICE ENTRY'!$BB$4:$BB$1200,'Pt Nav-CareCoor-CaseMgt Report'!A12,'SERVICE ENTRY'!$F$4:$F$1200,"Puerto Rican")+COUNTIFS('SERVICE ENTRY'!$BB$4:$BB$1200,'Pt Nav-CareCoor-CaseMgt Report'!A12,'SERVICE ENTRY'!$F$4:$F$1200,"Salvadoran")+COUNTIFS('SERVICE ENTRY'!$BB$4:$BB$1200,'Pt Nav-CareCoor-CaseMgt Report'!A12,'SERVICE ENTRY'!$F$4:$F$1200,"Other Hispanic/Latino/Spanish origin")</f>
        <v>0</v>
      </c>
      <c r="K12" s="42">
        <f>COUNTIFS('SERVICE ENTRY'!$BB$4:$BB$1200,'Pt Nav-CareCoor-CaseMgt Report'!A12,'SERVICE ENTRY'!$F$4:$F$1200,"Not of Hispanic/Latino/Spanish origin")</f>
        <v>0</v>
      </c>
      <c r="L12" s="42">
        <f>COUNTIFS('SERVICE ENTRY'!$BB$4:$BB$1200,'Pt Nav-CareCoor-CaseMgt Report'!A12,'SERVICE ENTRY'!$F$4:$F$1200,"Unknown or Other")</f>
        <v>0</v>
      </c>
    </row>
    <row r="13" spans="1:12" s="54" customFormat="1" ht="15" x14ac:dyDescent="0.25">
      <c r="A13" s="114" t="s">
        <v>139</v>
      </c>
      <c r="B13" s="106">
        <f>COUNTIF('SERVICE ENTRY'!$BB$4:$BB$1200,'Pt Nav-CareCoor-CaseMgt Report'!A13)</f>
        <v>0</v>
      </c>
      <c r="C13" s="92">
        <f>COUNTIFS('SERVICE ENTRY'!$BB$4:$BB$1200,'Pt Nav-CareCoor-CaseMgt Report'!A13,'SERVICE ENTRY'!$G$4:$G$1200,"American Indian or Alaska Native")</f>
        <v>0</v>
      </c>
      <c r="D13" s="42">
        <f>COUNTIFS('SERVICE ENTRY'!$BB$4:$BB$1200,'Pt Nav-CareCoor-CaseMgt Report'!A13,'SERVICE ENTRY'!$G$4:$G$1200,"Asian")</f>
        <v>0</v>
      </c>
      <c r="E13" s="42">
        <f>COUNTIFS('SERVICE ENTRY'!$BB$4:$BB$1200,'Pt Nav-CareCoor-CaseMgt Report'!A13,'SERVICE ENTRY'!$G$4:$G$1200,"Black/African-American")</f>
        <v>0</v>
      </c>
      <c r="F13" s="42">
        <f>COUNTIFS('SERVICE ENTRY'!$BB$4:$BB$1200,'Pt Nav-CareCoor-CaseMgt Report'!A13,'SERVICE ENTRY'!$G$4:$G$1200,"Middle Eastern or North African")</f>
        <v>0</v>
      </c>
      <c r="G13" s="100">
        <f>COUNTIFS('SERVICE ENTRY'!$BB$4:$BB$1200,'Pt Nav-CareCoor-CaseMgt Report'!A13,'SERVICE ENTRY'!$G$4:$G$1200,"Native Hawaiian or Pacific Islander")</f>
        <v>0</v>
      </c>
      <c r="H13" s="100">
        <f>COUNTIFS('SERVICE ENTRY'!$BB$4:$BB$1200,'Pt Nav-CareCoor-CaseMgt Report'!A13,'SERVICE ENTRY'!$G$4:$G$1200,"White")</f>
        <v>0</v>
      </c>
      <c r="I13" s="106">
        <f>COUNTIFS('SERVICE ENTRY'!$BB$4:$BB$1200,'Pt Nav-CareCoor-CaseMgt Report'!A13,'SERVICE ENTRY'!$G$4:$G$1200,"Unknown or Other")</f>
        <v>0</v>
      </c>
      <c r="J13" s="102">
        <f>COUNTIFS('SERVICE ENTRY'!$BB$4:$BB$1200,'Pt Nav-CareCoor-CaseMgt Report'!A13,'SERVICE ENTRY'!$F$4:$F$1200,"Colombian")+COUNTIFS('SERVICE ENTRY'!$BB$4:$BB$1200,'Pt Nav-CareCoor-CaseMgt Report'!A13,'SERVICE ENTRY'!$F$4:$F$1200,"Cuban")+COUNTIFS('SERVICE ENTRY'!$BB$4:$BB$1200,'Pt Nav-CareCoor-CaseMgt Report'!A13,'SERVICE ENTRY'!$F$4:$F$1200,"Dominican")+COUNTIFS('SERVICE ENTRY'!$BB$4:$BB$1200,'Pt Nav-CareCoor-CaseMgt Report'!A13,'SERVICE ENTRY'!$F$4:$F$1200,"Mexican/Mexican-American/Chicano")+COUNTIFS('SERVICE ENTRY'!$BB$4:$BB$1200,'Pt Nav-CareCoor-CaseMgt Report'!A13,'SERVICE ENTRY'!$F$4:$F$1200,"Puerto Rican")+COUNTIFS('SERVICE ENTRY'!$BB$4:$BB$1200,'Pt Nav-CareCoor-CaseMgt Report'!A13,'SERVICE ENTRY'!$F$4:$F$1200,"Salvadoran")+COUNTIFS('SERVICE ENTRY'!$BB$4:$BB$1200,'Pt Nav-CareCoor-CaseMgt Report'!A13,'SERVICE ENTRY'!$F$4:$F$1200,"Other Hispanic/Latino/Spanish origin")</f>
        <v>0</v>
      </c>
      <c r="K13" s="42">
        <f>COUNTIFS('SERVICE ENTRY'!$BB$4:$BB$1200,'Pt Nav-CareCoor-CaseMgt Report'!A13,'SERVICE ENTRY'!$F$4:$F$1200,"Not of Hispanic/Latino/Spanish origin")</f>
        <v>0</v>
      </c>
      <c r="L13" s="42">
        <f>COUNTIFS('SERVICE ENTRY'!$BB$4:$BB$1200,'Pt Nav-CareCoor-CaseMgt Report'!A13,'SERVICE ENTRY'!$F$4:$F$1200,"Unknown or Other")</f>
        <v>0</v>
      </c>
    </row>
    <row r="14" spans="1:12" s="54" customFormat="1" ht="17.25" customHeight="1" thickBot="1" x14ac:dyDescent="0.3">
      <c r="A14" s="113" t="s">
        <v>122</v>
      </c>
      <c r="B14" s="106">
        <f>COUNTIF('SERVICE ENTRY'!$BB$4:$BB$1200,'Pt Nav-CareCoor-CaseMgt Report'!A14)</f>
        <v>0</v>
      </c>
      <c r="C14" s="115">
        <f>COUNTIFS('SERVICE ENTRY'!$BB$4:$BB$1200,'Pt Nav-CareCoor-CaseMgt Report'!A14,'SERVICE ENTRY'!$G$4:$G$1200,"American Indian or Alaska Native")</f>
        <v>0</v>
      </c>
      <c r="D14" s="99">
        <f>COUNTIFS('SERVICE ENTRY'!$BB$4:$BB$1200,'Pt Nav-CareCoor-CaseMgt Report'!A14,'SERVICE ENTRY'!$G$4:$G$1200,"Asian")</f>
        <v>0</v>
      </c>
      <c r="E14" s="99">
        <f>COUNTIFS('SERVICE ENTRY'!$BB$4:$BB$1200,'Pt Nav-CareCoor-CaseMgt Report'!A14,'SERVICE ENTRY'!$G$4:$G$1200,"Black/African-American")</f>
        <v>0</v>
      </c>
      <c r="F14" s="99">
        <f>COUNTIFS('SERVICE ENTRY'!$BB$4:$BB$1200,'Pt Nav-CareCoor-CaseMgt Report'!A14,'SERVICE ENTRY'!$G$4:$G$1200,"Middle Eastern or North African")</f>
        <v>0</v>
      </c>
      <c r="G14" s="118">
        <f>COUNTIFS('SERVICE ENTRY'!$BB$4:$BB$1200,'Pt Nav-CareCoor-CaseMgt Report'!A14,'SERVICE ENTRY'!$G$4:$G$1200,"Native Hawaiian or Pacific Islander")</f>
        <v>0</v>
      </c>
      <c r="H14" s="118">
        <f>COUNTIFS('SERVICE ENTRY'!$BB$4:$BB$1200,'Pt Nav-CareCoor-CaseMgt Report'!A14,'SERVICE ENTRY'!$G$4:$G$1200,"White")</f>
        <v>0</v>
      </c>
      <c r="I14" s="117">
        <f>COUNTIFS('SERVICE ENTRY'!$BB$4:$BB$1200,'Pt Nav-CareCoor-CaseMgt Report'!A14,'SERVICE ENTRY'!$G$4:$G$1200,"Unknown or Other")</f>
        <v>0</v>
      </c>
      <c r="J14" s="120">
        <f>COUNTIFS('SERVICE ENTRY'!$BB$4:$BB$1200,'Pt Nav-CareCoor-CaseMgt Report'!A14,'SERVICE ENTRY'!$F$4:$F$1200,"Colombian")+COUNTIFS('SERVICE ENTRY'!$BB$4:$BB$1200,'Pt Nav-CareCoor-CaseMgt Report'!A14,'SERVICE ENTRY'!$F$4:$F$1200,"Cuban")+COUNTIFS('SERVICE ENTRY'!$BB$4:$BB$1200,'Pt Nav-CareCoor-CaseMgt Report'!A14,'SERVICE ENTRY'!$F$4:$F$1200,"Dominican")+COUNTIFS('SERVICE ENTRY'!$BB$4:$BB$1200,'Pt Nav-CareCoor-CaseMgt Report'!A14,'SERVICE ENTRY'!$F$4:$F$1200,"Mexican/Mexican-American/Chicano")+COUNTIFS('SERVICE ENTRY'!$BB$4:$BB$1200,'Pt Nav-CareCoor-CaseMgt Report'!A14,'SERVICE ENTRY'!$F$4:$F$1200,"Puerto Rican")+COUNTIFS('SERVICE ENTRY'!$BB$4:$BB$1200,'Pt Nav-CareCoor-CaseMgt Report'!A14,'SERVICE ENTRY'!$F$4:$F$1200,"Salvadoran")+COUNTIFS('SERVICE ENTRY'!$BB$4:$BB$1200,'Pt Nav-CareCoor-CaseMgt Report'!A14,'SERVICE ENTRY'!$F$4:$F$1200,"Other Hispanic/Latino/Spanish origin")</f>
        <v>0</v>
      </c>
      <c r="K14" s="99">
        <f>COUNTIFS('SERVICE ENTRY'!$BB$4:$BB$1200,'Pt Nav-CareCoor-CaseMgt Report'!A14,'SERVICE ENTRY'!$F$4:$F$1200,"Not of Hispanic/Latino/Spanish origin")</f>
        <v>0</v>
      </c>
      <c r="L14" s="99">
        <f>COUNTIFS('SERVICE ENTRY'!$BB$4:$BB$1200,'Pt Nav-CareCoor-CaseMgt Report'!A14,'SERVICE ENTRY'!$F$4:$F$1200,"Unknown or Other")</f>
        <v>0</v>
      </c>
    </row>
    <row r="15" spans="1:12" s="54" customFormat="1" ht="15.75" thickBot="1" x14ac:dyDescent="0.3">
      <c r="A15" s="365" t="s">
        <v>269</v>
      </c>
      <c r="B15" s="367">
        <f>SUM(B9:B14)</f>
        <v>0</v>
      </c>
      <c r="C15" s="198">
        <f>SUM(C10:C14)</f>
        <v>0</v>
      </c>
      <c r="D15" s="215">
        <f t="shared" ref="D15:L15" si="0">SUM(D10:D14)</f>
        <v>0</v>
      </c>
      <c r="E15" s="215">
        <f t="shared" si="0"/>
        <v>0</v>
      </c>
      <c r="F15" s="215">
        <f t="shared" si="0"/>
        <v>0</v>
      </c>
      <c r="G15" s="215">
        <f t="shared" si="0"/>
        <v>0</v>
      </c>
      <c r="H15" s="215">
        <f t="shared" si="0"/>
        <v>0</v>
      </c>
      <c r="I15" s="217">
        <f t="shared" si="0"/>
        <v>0</v>
      </c>
      <c r="J15" s="198">
        <f t="shared" si="0"/>
        <v>0</v>
      </c>
      <c r="K15" s="215">
        <f t="shared" si="0"/>
        <v>0</v>
      </c>
      <c r="L15" s="216">
        <f t="shared" si="0"/>
        <v>0</v>
      </c>
    </row>
    <row r="16" spans="1:12" s="54" customFormat="1" ht="30.75" customHeight="1" thickBot="1" x14ac:dyDescent="0.3">
      <c r="A16" s="366"/>
      <c r="B16" s="368"/>
      <c r="C16" s="372">
        <f>SUM(C15:I15)</f>
        <v>0</v>
      </c>
      <c r="D16" s="373"/>
      <c r="E16" s="373"/>
      <c r="F16" s="373"/>
      <c r="G16" s="373"/>
      <c r="H16" s="373"/>
      <c r="I16" s="373"/>
      <c r="J16" s="372">
        <f>SUM(J15:L15)</f>
        <v>0</v>
      </c>
      <c r="K16" s="373"/>
      <c r="L16" s="374"/>
    </row>
    <row r="17" spans="1:12" s="54" customFormat="1" ht="15" x14ac:dyDescent="0.25">
      <c r="A17" s="55"/>
      <c r="B17" s="51"/>
      <c r="C17" s="51"/>
      <c r="D17" s="51"/>
      <c r="E17" s="16"/>
      <c r="F17" s="16"/>
      <c r="G17" s="16"/>
      <c r="H17" s="16"/>
      <c r="I17" s="16"/>
      <c r="J17" s="16"/>
    </row>
    <row r="18" spans="1:12" s="54" customFormat="1" ht="15" x14ac:dyDescent="0.25">
      <c r="A18" s="55"/>
      <c r="B18" s="51"/>
      <c r="C18" s="51"/>
      <c r="D18" s="51"/>
      <c r="E18" s="16"/>
      <c r="F18" s="16"/>
      <c r="G18" s="16"/>
      <c r="H18" s="16"/>
      <c r="I18" s="16"/>
      <c r="J18" s="16"/>
    </row>
    <row r="19" spans="1:12" s="54" customFormat="1" ht="68.25" customHeight="1" x14ac:dyDescent="0.2">
      <c r="A19" s="7" t="s">
        <v>217</v>
      </c>
      <c r="B19" s="116" t="s">
        <v>319</v>
      </c>
      <c r="C19" s="7" t="s">
        <v>250</v>
      </c>
      <c r="D19" s="7" t="s">
        <v>251</v>
      </c>
      <c r="E19" s="7" t="s">
        <v>246</v>
      </c>
      <c r="F19" s="7" t="s">
        <v>373</v>
      </c>
      <c r="G19" s="7" t="s">
        <v>252</v>
      </c>
      <c r="H19" s="7" t="s">
        <v>248</v>
      </c>
      <c r="I19" s="201" t="s">
        <v>388</v>
      </c>
      <c r="J19" s="119" t="s">
        <v>247</v>
      </c>
      <c r="K19" s="7" t="s">
        <v>324</v>
      </c>
      <c r="L19" s="201" t="s">
        <v>388</v>
      </c>
    </row>
    <row r="20" spans="1:12" s="54" customFormat="1" ht="18.75" customHeight="1" x14ac:dyDescent="0.25">
      <c r="A20" s="68" t="s">
        <v>204</v>
      </c>
      <c r="B20" s="106">
        <f>COUNTIF('SERVICE ENTRY'!$BC$4:$BC$1200,'Pt Nav-CareCoor-CaseMgt Report'!A20)</f>
        <v>0</v>
      </c>
      <c r="C20" s="92">
        <f>COUNTIFS('SERVICE ENTRY'!$BC$4:$BC$1200,'Pt Nav-CareCoor-CaseMgt Report'!A20,'SERVICE ENTRY'!$G$4:$G$1200,"American Indian or Alaska Native")</f>
        <v>0</v>
      </c>
      <c r="D20" s="42">
        <f>COUNTIFS('SERVICE ENTRY'!$BC$4:$BC$1200,'Pt Nav-CareCoor-CaseMgt Report'!A20,'SERVICE ENTRY'!$G$4:$G$1200,"Asian")</f>
        <v>0</v>
      </c>
      <c r="E20" s="42">
        <f>COUNTIFS('SERVICE ENTRY'!$BC$4:$BC$1200,'Pt Nav-CareCoor-CaseMgt Report'!A20,'SERVICE ENTRY'!$G$4:$G$1200,"Black/African-American")</f>
        <v>0</v>
      </c>
      <c r="F20" s="42">
        <f>COUNTIFS('SERVICE ENTRY'!$BC$4:$BC$1200,'Pt Nav-CareCoor-CaseMgt Report'!A20,'SERVICE ENTRY'!$G$4:$G$1200,"Middle Eastern or North African")</f>
        <v>0</v>
      </c>
      <c r="G20" s="100">
        <f>COUNTIFS('SERVICE ENTRY'!$BC$4:$BC$1200,'Pt Nav-CareCoor-CaseMgt Report'!A20,'SERVICE ENTRY'!$G$4:$G$1200,"Native Hawaiian or Pacific Islander")</f>
        <v>0</v>
      </c>
      <c r="H20" s="100">
        <f>COUNTIFS('SERVICE ENTRY'!$BC$4:$BC$1200,'Pt Nav-CareCoor-CaseMgt Report'!A20,'SERVICE ENTRY'!$G$4:$G$1200,"White")</f>
        <v>0</v>
      </c>
      <c r="I20" s="106">
        <f>COUNTIFS('SERVICE ENTRY'!$BC$4:$BC$1200,'Pt Nav-CareCoor-CaseMgt Report'!A20,'SERVICE ENTRY'!$G$4:$G$1200,"Unknown or Other")</f>
        <v>0</v>
      </c>
      <c r="J20" s="102">
        <f>COUNTIFS('SERVICE ENTRY'!$BC$4:$BC$1200,'Pt Nav-CareCoor-CaseMgt Report'!A20,'SERVICE ENTRY'!$F$4:$F$1200,"Colombian")+COUNTIFS('SERVICE ENTRY'!$BC$4:$BC$1200,'Pt Nav-CareCoor-CaseMgt Report'!A20,'SERVICE ENTRY'!$F$4:$F$1200,"Cuban")+COUNTIFS('SERVICE ENTRY'!$BC$4:$BC$1200,'Pt Nav-CareCoor-CaseMgt Report'!A20,'SERVICE ENTRY'!$F$4:$F$1200,"Dominican")+COUNTIFS('SERVICE ENTRY'!$BC$4:$BC$1200,'Pt Nav-CareCoor-CaseMgt Report'!A20,'SERVICE ENTRY'!$F$4:$F$1200,"Mexican/Mexican-American/Chicano")+COUNTIFS('SERVICE ENTRY'!$BC$4:$BC$1200,'Pt Nav-CareCoor-CaseMgt Report'!A20,'SERVICE ENTRY'!$F$4:$F$1200,"Puerto Rican")+COUNTIFS('SERVICE ENTRY'!$BC$4:$BC$1200,'Pt Nav-CareCoor-CaseMgt Report'!A20,'SERVICE ENTRY'!$F$4:$F$1200,"Salvadoran")+COUNTIFS('SERVICE ENTRY'!$BC$4:$BC$1200,'Pt Nav-CareCoor-CaseMgt Report'!A20,'SERVICE ENTRY'!$F$4:$F$1200,"Other Hispanic/Latino/Spanish origin")</f>
        <v>0</v>
      </c>
      <c r="K20" s="42">
        <f>COUNTIFS('SERVICE ENTRY'!$BC$4:$BC$1200,'Pt Nav-CareCoor-CaseMgt Report'!A20,'SERVICE ENTRY'!$F$4:$F$1200,"Not of Hispanic/Latino/Spanish origin")</f>
        <v>0</v>
      </c>
      <c r="L20" s="42">
        <f>COUNTIFS('SERVICE ENTRY'!$BC$4:$BC$1200,'Pt Nav-CareCoor-CaseMgt Report'!A20,'SERVICE ENTRY'!$F$4:$F$1200,"Unknown or Other")</f>
        <v>0</v>
      </c>
    </row>
    <row r="21" spans="1:12" s="54" customFormat="1" ht="15" x14ac:dyDescent="0.25">
      <c r="A21" s="68" t="s">
        <v>205</v>
      </c>
      <c r="B21" s="106">
        <f>COUNTIF('SERVICE ENTRY'!$BC$4:$BC$1200,'Pt Nav-CareCoor-CaseMgt Report'!A21)</f>
        <v>0</v>
      </c>
      <c r="C21" s="92">
        <f>COUNTIFS('SERVICE ENTRY'!$BC$4:$BC$1200,'Pt Nav-CareCoor-CaseMgt Report'!A21,'SERVICE ENTRY'!$G$4:$G$1200,"American Indian or Alaska Native")</f>
        <v>0</v>
      </c>
      <c r="D21" s="42">
        <f>COUNTIFS('SERVICE ENTRY'!$BC$4:$BC$1200,'Pt Nav-CareCoor-CaseMgt Report'!A21,'SERVICE ENTRY'!$G$4:$G$1200,"Asian")</f>
        <v>0</v>
      </c>
      <c r="E21" s="42">
        <f>COUNTIFS('SERVICE ENTRY'!$BC$4:$BC$1200,'Pt Nav-CareCoor-CaseMgt Report'!A21,'SERVICE ENTRY'!$G$4:$G$1200,"Black/African-American")</f>
        <v>0</v>
      </c>
      <c r="F21" s="42">
        <f>COUNTIFS('SERVICE ENTRY'!$BC$4:$BC$1200,'Pt Nav-CareCoor-CaseMgt Report'!A21,'SERVICE ENTRY'!$G$4:$G$1200,"Middle Eastern or North African")</f>
        <v>0</v>
      </c>
      <c r="G21" s="100">
        <f>COUNTIFS('SERVICE ENTRY'!$BC$4:$BC$1200,'Pt Nav-CareCoor-CaseMgt Report'!A21,'SERVICE ENTRY'!$G$4:$G$1200,"Native Hawaiian or Pacific Islander")</f>
        <v>0</v>
      </c>
      <c r="H21" s="100">
        <f>COUNTIFS('SERVICE ENTRY'!$BC$4:$BC$1200,'Pt Nav-CareCoor-CaseMgt Report'!A21,'SERVICE ENTRY'!$G$4:$G$1200,"White")</f>
        <v>0</v>
      </c>
      <c r="I21" s="106">
        <f>COUNTIFS('SERVICE ENTRY'!$BC$4:$BC$1200,'Pt Nav-CareCoor-CaseMgt Report'!A21,'SERVICE ENTRY'!$G$4:$G$1200,"Unknown or Other")</f>
        <v>0</v>
      </c>
      <c r="J21" s="102">
        <f>COUNTIFS('SERVICE ENTRY'!$BC$4:$BC$1200,'Pt Nav-CareCoor-CaseMgt Report'!A21,'SERVICE ENTRY'!$F$4:$F$1200,"Colombian")+COUNTIFS('SERVICE ENTRY'!$BC$4:$BC$1200,'Pt Nav-CareCoor-CaseMgt Report'!A21,'SERVICE ENTRY'!$F$4:$F$1200,"Cuban")+COUNTIFS('SERVICE ENTRY'!$BC$4:$BC$1200,'Pt Nav-CareCoor-CaseMgt Report'!A21,'SERVICE ENTRY'!$F$4:$F$1200,"Dominican")+COUNTIFS('SERVICE ENTRY'!$BC$4:$BC$1200,'Pt Nav-CareCoor-CaseMgt Report'!A21,'SERVICE ENTRY'!$F$4:$F$1200,"Mexican/Mexican-American/Chicano")+COUNTIFS('SERVICE ENTRY'!$BC$4:$BC$1200,'Pt Nav-CareCoor-CaseMgt Report'!A21,'SERVICE ENTRY'!$F$4:$F$1200,"Puerto Rican")+COUNTIFS('SERVICE ENTRY'!$BC$4:$BC$1200,'Pt Nav-CareCoor-CaseMgt Report'!A21,'SERVICE ENTRY'!$F$4:$F$1200,"Salvadoran")+COUNTIFS('SERVICE ENTRY'!$BC$4:$BC$1200,'Pt Nav-CareCoor-CaseMgt Report'!A21,'SERVICE ENTRY'!$F$4:$F$1200,"Other Hispanic/Latino/Spanish origin")</f>
        <v>0</v>
      </c>
      <c r="K21" s="42">
        <f>COUNTIFS('SERVICE ENTRY'!$BC$4:$BC$1200,'Pt Nav-CareCoor-CaseMgt Report'!A21,'SERVICE ENTRY'!$F$4:$F$1200,"Not of Hispanic/Latino/Spanish origin")</f>
        <v>0</v>
      </c>
      <c r="L21" s="42">
        <f>COUNTIFS('SERVICE ENTRY'!$BC$4:$BC$1200,'Pt Nav-CareCoor-CaseMgt Report'!A21,'SERVICE ENTRY'!$F$4:$F$1200,"Unknown or Other")</f>
        <v>0</v>
      </c>
    </row>
    <row r="22" spans="1:12" s="54" customFormat="1" ht="15" x14ac:dyDescent="0.25">
      <c r="A22" s="68" t="s">
        <v>206</v>
      </c>
      <c r="B22" s="106">
        <f>COUNTIF('SERVICE ENTRY'!$BC$4:$BC$1200,'Pt Nav-CareCoor-CaseMgt Report'!A22)</f>
        <v>0</v>
      </c>
      <c r="C22" s="92">
        <f>COUNTIFS('SERVICE ENTRY'!$BC$4:$BC$1200,'Pt Nav-CareCoor-CaseMgt Report'!A22,'SERVICE ENTRY'!$G$4:$G$1200,"American Indian or Alaska Native")</f>
        <v>0</v>
      </c>
      <c r="D22" s="42">
        <f>COUNTIFS('SERVICE ENTRY'!$BC$4:$BC$1200,'Pt Nav-CareCoor-CaseMgt Report'!A22,'SERVICE ENTRY'!$G$4:$G$1200,"Asian")</f>
        <v>0</v>
      </c>
      <c r="E22" s="42">
        <f>COUNTIFS('SERVICE ENTRY'!$BC$4:$BC$1200,'Pt Nav-CareCoor-CaseMgt Report'!A22,'SERVICE ENTRY'!$G$4:$G$1200,"Black/African-American")</f>
        <v>0</v>
      </c>
      <c r="F22" s="42">
        <f>COUNTIFS('SERVICE ENTRY'!$BC$4:$BC$1200,'Pt Nav-CareCoor-CaseMgt Report'!A22,'SERVICE ENTRY'!$G$4:$G$1200,"Middle Eastern or North African")</f>
        <v>0</v>
      </c>
      <c r="G22" s="100">
        <f>COUNTIFS('SERVICE ENTRY'!$BC$4:$BC$1200,'Pt Nav-CareCoor-CaseMgt Report'!A22,'SERVICE ENTRY'!$G$4:$G$1200,"Native Hawaiian or Pacific Islander")</f>
        <v>0</v>
      </c>
      <c r="H22" s="100">
        <f>COUNTIFS('SERVICE ENTRY'!$BC$4:$BC$1200,'Pt Nav-CareCoor-CaseMgt Report'!A22,'SERVICE ENTRY'!$G$4:$G$1200,"White")</f>
        <v>0</v>
      </c>
      <c r="I22" s="106">
        <f>COUNTIFS('SERVICE ENTRY'!$BC$4:$BC$1200,'Pt Nav-CareCoor-CaseMgt Report'!A22,'SERVICE ENTRY'!$G$4:$G$1200,"Unknown or Other")</f>
        <v>0</v>
      </c>
      <c r="J22" s="102">
        <f>COUNTIFS('SERVICE ENTRY'!$BC$4:$BC$1200,'Pt Nav-CareCoor-CaseMgt Report'!A22,'SERVICE ENTRY'!$F$4:$F$1200,"Colombian")+COUNTIFS('SERVICE ENTRY'!$BC$4:$BC$1200,'Pt Nav-CareCoor-CaseMgt Report'!A22,'SERVICE ENTRY'!$F$4:$F$1200,"Cuban")+COUNTIFS('SERVICE ENTRY'!$BC$4:$BC$1200,'Pt Nav-CareCoor-CaseMgt Report'!A22,'SERVICE ENTRY'!$F$4:$F$1200,"Dominican")+COUNTIFS('SERVICE ENTRY'!$BC$4:$BC$1200,'Pt Nav-CareCoor-CaseMgt Report'!A22,'SERVICE ENTRY'!$F$4:$F$1200,"Mexican/Mexican-American/Chicano")+COUNTIFS('SERVICE ENTRY'!$BC$4:$BC$1200,'Pt Nav-CareCoor-CaseMgt Report'!A22,'SERVICE ENTRY'!$F$4:$F$1200,"Puerto Rican")+COUNTIFS('SERVICE ENTRY'!$BC$4:$BC$1200,'Pt Nav-CareCoor-CaseMgt Report'!A22,'SERVICE ENTRY'!$F$4:$F$1200,"Salvadoran")+COUNTIFS('SERVICE ENTRY'!$BC$4:$BC$1200,'Pt Nav-CareCoor-CaseMgt Report'!A22,'SERVICE ENTRY'!$F$4:$F$1200,"Other Hispanic/Latino/Spanish origin")</f>
        <v>0</v>
      </c>
      <c r="K22" s="42">
        <f>COUNTIFS('SERVICE ENTRY'!$BC$4:$BC$1200,'Pt Nav-CareCoor-CaseMgt Report'!A22,'SERVICE ENTRY'!$F$4:$F$1200,"Not of Hispanic/Latino/Spanish origin")</f>
        <v>0</v>
      </c>
      <c r="L22" s="42">
        <f>COUNTIFS('SERVICE ENTRY'!$BC$4:$BC$1200,'Pt Nav-CareCoor-CaseMgt Report'!A22,'SERVICE ENTRY'!$F$4:$F$1200,"Unknown or Other")</f>
        <v>0</v>
      </c>
    </row>
    <row r="23" spans="1:12" s="54" customFormat="1" ht="15.75" thickBot="1" x14ac:dyDescent="0.3">
      <c r="A23" s="68" t="s">
        <v>207</v>
      </c>
      <c r="B23" s="106">
        <f>COUNTIF('SERVICE ENTRY'!$BC$4:$BC$1200,'Pt Nav-CareCoor-CaseMgt Report'!A23)</f>
        <v>0</v>
      </c>
      <c r="C23" s="92">
        <f>COUNTIFS('SERVICE ENTRY'!$BC$4:$BC$1200,'Pt Nav-CareCoor-CaseMgt Report'!A23,'SERVICE ENTRY'!$G$4:$G$1200,"American Indian or Alaska Native")</f>
        <v>0</v>
      </c>
      <c r="D23" s="42">
        <f>COUNTIFS('SERVICE ENTRY'!$BC$4:$BC$1200,'Pt Nav-CareCoor-CaseMgt Report'!A23,'SERVICE ENTRY'!$G$4:$G$1200,"Asian")</f>
        <v>0</v>
      </c>
      <c r="E23" s="42">
        <f>COUNTIFS('SERVICE ENTRY'!$BC$4:$BC$1200,'Pt Nav-CareCoor-CaseMgt Report'!A23,'SERVICE ENTRY'!$G$4:$G$1200,"Black/African-American")</f>
        <v>0</v>
      </c>
      <c r="F23" s="42">
        <f>COUNTIFS('SERVICE ENTRY'!$BC$4:$BC$1200,'Pt Nav-CareCoor-CaseMgt Report'!A23,'SERVICE ENTRY'!$G$4:$G$1200,"Middle Eastern or North African")</f>
        <v>0</v>
      </c>
      <c r="G23" s="100">
        <f>COUNTIFS('SERVICE ENTRY'!$BC$4:$BC$1200,'Pt Nav-CareCoor-CaseMgt Report'!A23,'SERVICE ENTRY'!$G$4:$G$1200,"Native Hawaiian or Pacific Islander")</f>
        <v>0</v>
      </c>
      <c r="H23" s="100">
        <f>COUNTIFS('SERVICE ENTRY'!$BC$4:$BC$1200,'Pt Nav-CareCoor-CaseMgt Report'!A23,'SERVICE ENTRY'!$G$4:$G$1200,"White")</f>
        <v>0</v>
      </c>
      <c r="I23" s="106">
        <f>COUNTIFS('SERVICE ENTRY'!$BC$4:$BC$1200,'Pt Nav-CareCoor-CaseMgt Report'!A23,'SERVICE ENTRY'!$G$4:$G$1200,"Unknown or Other")</f>
        <v>0</v>
      </c>
      <c r="J23" s="102">
        <f>COUNTIFS('SERVICE ENTRY'!$BC$4:$BC$1200,'Pt Nav-CareCoor-CaseMgt Report'!A23,'SERVICE ENTRY'!$F$4:$F$1200,"Colombian")+COUNTIFS('SERVICE ENTRY'!$BC$4:$BC$1200,'Pt Nav-CareCoor-CaseMgt Report'!A23,'SERVICE ENTRY'!$F$4:$F$1200,"Cuban")+COUNTIFS('SERVICE ENTRY'!$BC$4:$BC$1200,'Pt Nav-CareCoor-CaseMgt Report'!A23,'SERVICE ENTRY'!$F$4:$F$1200,"Dominican")+COUNTIFS('SERVICE ENTRY'!$BC$4:$BC$1200,'Pt Nav-CareCoor-CaseMgt Report'!A23,'SERVICE ENTRY'!$F$4:$F$1200,"Mexican/Mexican-American/Chicano")+COUNTIFS('SERVICE ENTRY'!$BC$4:$BC$1200,'Pt Nav-CareCoor-CaseMgt Report'!A23,'SERVICE ENTRY'!$F$4:$F$1200,"Puerto Rican")+COUNTIFS('SERVICE ENTRY'!$BC$4:$BC$1200,'Pt Nav-CareCoor-CaseMgt Report'!A23,'SERVICE ENTRY'!$F$4:$F$1200,"Salvadoran")+COUNTIFS('SERVICE ENTRY'!$BC$4:$BC$1200,'Pt Nav-CareCoor-CaseMgt Report'!A23,'SERVICE ENTRY'!$F$4:$F$1200,"Other Hispanic/Latino/Spanish origin")</f>
        <v>0</v>
      </c>
      <c r="K23" s="42">
        <f>COUNTIFS('SERVICE ENTRY'!$BC$4:$BC$1200,'Pt Nav-CareCoor-CaseMgt Report'!A23,'SERVICE ENTRY'!$F$4:$F$1200,"Not of Hispanic/Latino/Spanish origin")</f>
        <v>0</v>
      </c>
      <c r="L23" s="42">
        <f>COUNTIFS('SERVICE ENTRY'!$BC$4:$BC$1200,'Pt Nav-CareCoor-CaseMgt Report'!A23,'SERVICE ENTRY'!$F$4:$F$1200,"Unknown or Other")</f>
        <v>0</v>
      </c>
    </row>
    <row r="24" spans="1:12" s="54" customFormat="1" ht="18" customHeight="1" thickBot="1" x14ac:dyDescent="0.3">
      <c r="A24" s="16"/>
      <c r="B24" s="16"/>
      <c r="C24" s="369">
        <f>SUM(C20:I23)</f>
        <v>0</v>
      </c>
      <c r="D24" s="370"/>
      <c r="E24" s="370"/>
      <c r="F24" s="370"/>
      <c r="G24" s="370"/>
      <c r="H24" s="370"/>
      <c r="I24" s="370"/>
      <c r="J24" s="369">
        <f>SUM(J20:L23)</f>
        <v>0</v>
      </c>
      <c r="K24" s="370"/>
      <c r="L24" s="371"/>
    </row>
    <row r="27" spans="1:12" ht="39.75" customHeight="1" x14ac:dyDescent="0.2">
      <c r="A27" s="435" t="s">
        <v>356</v>
      </c>
      <c r="B27" s="436"/>
      <c r="C27" s="436"/>
      <c r="D27" s="436"/>
      <c r="E27" s="436"/>
      <c r="F27" s="436"/>
      <c r="G27" s="436"/>
      <c r="H27" s="436"/>
      <c r="I27" s="436"/>
      <c r="J27" s="436"/>
      <c r="K27" s="436"/>
      <c r="L27" s="183"/>
    </row>
    <row r="28" spans="1:12" ht="37.5" customHeight="1" x14ac:dyDescent="0.2">
      <c r="A28" s="156" t="s">
        <v>255</v>
      </c>
      <c r="B28" s="60" t="s">
        <v>254</v>
      </c>
      <c r="C28" s="443" t="s">
        <v>326</v>
      </c>
      <c r="D28" s="444"/>
      <c r="E28" s="444"/>
      <c r="F28" s="444"/>
      <c r="G28" s="444"/>
      <c r="H28" s="444"/>
      <c r="I28" s="445"/>
      <c r="J28" s="446" t="s">
        <v>327</v>
      </c>
      <c r="K28" s="446"/>
      <c r="L28" s="446"/>
    </row>
    <row r="29" spans="1:12" ht="60" x14ac:dyDescent="0.2">
      <c r="A29" s="157" t="s">
        <v>214</v>
      </c>
      <c r="B29" s="123" t="s">
        <v>215</v>
      </c>
      <c r="C29" s="205" t="s">
        <v>250</v>
      </c>
      <c r="D29" s="205" t="s">
        <v>251</v>
      </c>
      <c r="E29" s="205" t="s">
        <v>246</v>
      </c>
      <c r="F29" s="205" t="s">
        <v>373</v>
      </c>
      <c r="G29" s="205" t="s">
        <v>252</v>
      </c>
      <c r="H29" s="205" t="s">
        <v>248</v>
      </c>
      <c r="I29" s="205" t="s">
        <v>388</v>
      </c>
      <c r="J29" s="204" t="s">
        <v>247</v>
      </c>
      <c r="K29" s="205" t="s">
        <v>324</v>
      </c>
      <c r="L29" s="205" t="s">
        <v>388</v>
      </c>
    </row>
    <row r="30" spans="1:12" ht="17.25" customHeight="1" x14ac:dyDescent="0.25">
      <c r="A30" s="68" t="s">
        <v>355</v>
      </c>
      <c r="B30" s="106">
        <f>COUNTIF('SERVICE ENTRY'!$BE$4:$BE$1200,'Pt Nav-CareCoor-CaseMgt Report'!A30)</f>
        <v>0</v>
      </c>
      <c r="C30" s="92">
        <f>COUNTIFS('SERVICE ENTRY'!$BE$4:$BE$1200,'Pt Nav-CareCoor-CaseMgt Report'!A30,'SERVICE ENTRY'!$G$4:$G$1200,"American Indian or Alaska Native")</f>
        <v>0</v>
      </c>
      <c r="D30" s="42">
        <f>COUNTIFS('SERVICE ENTRY'!$BE$4:$BE$1200,'Pt Nav-CareCoor-CaseMgt Report'!A30,'SERVICE ENTRY'!$G$4:$G$1200,"Asian")</f>
        <v>0</v>
      </c>
      <c r="E30" s="42">
        <f>COUNTIFS('SERVICE ENTRY'!$BE$4:$BE$1200,'Pt Nav-CareCoor-CaseMgt Report'!A30,'SERVICE ENTRY'!$G$4:$G$1200,"Black/African-American")</f>
        <v>0</v>
      </c>
      <c r="F30" s="42">
        <f>COUNTIFS('SERVICE ENTRY'!$BE$4:$BE$1200,'Pt Nav-CareCoor-CaseMgt Report'!A30,'SERVICE ENTRY'!$G$4:$G$1200,"Middle Eastern or North African")</f>
        <v>0</v>
      </c>
      <c r="G30" s="42">
        <f>COUNTIFS('SERVICE ENTRY'!$BE$4:$BE$1200,'Pt Nav-CareCoor-CaseMgt Report'!A30,'SERVICE ENTRY'!$G$4:$G$1200,"Native Hawaiian or Pacific Islander")</f>
        <v>0</v>
      </c>
      <c r="H30" s="100">
        <f>COUNTIFS('SERVICE ENTRY'!$BE$4:$BE$1200,'Pt Nav-CareCoor-CaseMgt Report'!A30,'SERVICE ENTRY'!$G$4:$G$1200,"White")</f>
        <v>0</v>
      </c>
      <c r="I30" s="106">
        <f>COUNTIFS('SERVICE ENTRY'!$BE$4:$BE$1200,'Pt Nav-CareCoor-CaseMgt Report'!A30,'SERVICE ENTRY'!$G$4:$G$1200,"Unknown or Other")</f>
        <v>0</v>
      </c>
      <c r="J30" s="102">
        <f>COUNTIFS('SERVICE ENTRY'!$BE$4:$BE$1200,'Pt Nav-CareCoor-CaseMgt Report'!A30,'SERVICE ENTRY'!$F$4:$F$1200,"Colombian")+COUNTIFS('SERVICE ENTRY'!$BE$4:$BE$1200,'Pt Nav-CareCoor-CaseMgt Report'!A30,'SERVICE ENTRY'!$F$4:$F$1200,"Cuban")+COUNTIFS('SERVICE ENTRY'!$BE$4:$BE$1200,'Pt Nav-CareCoor-CaseMgt Report'!A30,'SERVICE ENTRY'!$F$4:$F$1200,"Dominican")+COUNTIFS('SERVICE ENTRY'!$BE$4:$BE$1200,'Pt Nav-CareCoor-CaseMgt Report'!A30,'SERVICE ENTRY'!$F$4:$F$1200,"Mexican/Mexican-American/Chicano")+COUNTIFS('SERVICE ENTRY'!$BE$4:$BE$1200,'Pt Nav-CareCoor-CaseMgt Report'!A30,'SERVICE ENTRY'!$F$4:$F$1200,"Puerto Rican")+COUNTIFS('SERVICE ENTRY'!$BE$4:$BE$1200,'Pt Nav-CareCoor-CaseMgt Report'!A30,'SERVICE ENTRY'!$F$4:$F$1200,"Salvadoran")+COUNTIFS('SERVICE ENTRY'!$BE$4:$BE$1200,'Pt Nav-CareCoor-CaseMgt Report'!A30,'SERVICE ENTRY'!$F$4:$F$1200,"Other Hispanic/Latino/Spanish origin")</f>
        <v>0</v>
      </c>
      <c r="K30" s="42">
        <f>COUNTIFS('SERVICE ENTRY'!$BE$4:$BE$1200,'Pt Nav-CareCoor-CaseMgt Report'!A30,'SERVICE ENTRY'!$F$4:$F$1200,"Not of Hispanic/Latino/Spanish origin")</f>
        <v>0</v>
      </c>
      <c r="L30" s="42">
        <f>COUNTIFS('SERVICE ENTRY'!$BE$4:$BE$1200,'Pt Nav-CareCoor-CaseMgt Report'!A30,'SERVICE ENTRY'!$F$4:$F$1200,"Unknown or Other")</f>
        <v>0</v>
      </c>
    </row>
    <row r="31" spans="1:12" ht="15" x14ac:dyDescent="0.25">
      <c r="A31" s="68" t="s">
        <v>70</v>
      </c>
      <c r="B31" s="106">
        <f>COUNTIF('SERVICE ENTRY'!$BE$4:$BE$1200,'Pt Nav-CareCoor-CaseMgt Report'!A31)</f>
        <v>0</v>
      </c>
      <c r="C31" s="92">
        <f>COUNTIFS('SERVICE ENTRY'!$BE$4:$BE$1200,'Pt Nav-CareCoor-CaseMgt Report'!A31,'SERVICE ENTRY'!$G$4:$G$1200,"American Indian or Alaska Native")</f>
        <v>0</v>
      </c>
      <c r="D31" s="42">
        <f>COUNTIFS('SERVICE ENTRY'!$BE$4:$BE$1200,'Pt Nav-CareCoor-CaseMgt Report'!A31,'SERVICE ENTRY'!$G$4:$G$1200,"Asian")</f>
        <v>0</v>
      </c>
      <c r="E31" s="42">
        <f>COUNTIFS('SERVICE ENTRY'!$BE$4:$BE$1200,'Pt Nav-CareCoor-CaseMgt Report'!A31,'SERVICE ENTRY'!$G$4:$G$1200,"Black/African-American")</f>
        <v>0</v>
      </c>
      <c r="F31" s="42">
        <f>COUNTIFS('SERVICE ENTRY'!$BE$4:$BE$1200,'Pt Nav-CareCoor-CaseMgt Report'!A31,'SERVICE ENTRY'!$G$4:$G$1200,"Middle Eastern or North African")</f>
        <v>0</v>
      </c>
      <c r="G31" s="42">
        <f>COUNTIFS('SERVICE ENTRY'!$BE$4:$BE$1200,'Pt Nav-CareCoor-CaseMgt Report'!A31,'SERVICE ENTRY'!$G$4:$G$1200,"Native Hawaiian or Pacific Islander")</f>
        <v>0</v>
      </c>
      <c r="H31" s="100">
        <f>COUNTIFS('SERVICE ENTRY'!$BE$4:$BE$1200,'Pt Nav-CareCoor-CaseMgt Report'!A31,'SERVICE ENTRY'!$G$4:$G$1200,"White")</f>
        <v>0</v>
      </c>
      <c r="I31" s="106">
        <f>COUNTIFS('SERVICE ENTRY'!$BE$4:$BE$1200,'Pt Nav-CareCoor-CaseMgt Report'!A31,'SERVICE ENTRY'!$G$4:$G$1200,"Unknown or Other")</f>
        <v>0</v>
      </c>
      <c r="J31" s="102">
        <f>COUNTIFS('SERVICE ENTRY'!$BE$4:$BE$1200,'Pt Nav-CareCoor-CaseMgt Report'!A31,'SERVICE ENTRY'!$F$4:$F$1200,"Colombian")+COUNTIFS('SERVICE ENTRY'!$BE$4:$BE$1200,'Pt Nav-CareCoor-CaseMgt Report'!A31,'SERVICE ENTRY'!$F$4:$F$1200,"Cuban")+COUNTIFS('SERVICE ENTRY'!$BE$4:$BE$1200,'Pt Nav-CareCoor-CaseMgt Report'!A31,'SERVICE ENTRY'!$F$4:$F$1200,"Dominican")+COUNTIFS('SERVICE ENTRY'!$BE$4:$BE$1200,'Pt Nav-CareCoor-CaseMgt Report'!A31,'SERVICE ENTRY'!$F$4:$F$1200,"Mexican/Mexican-American/Chicano")+COUNTIFS('SERVICE ENTRY'!$BE$4:$BE$1200,'Pt Nav-CareCoor-CaseMgt Report'!A31,'SERVICE ENTRY'!$F$4:$F$1200,"Puerto Rican")+COUNTIFS('SERVICE ENTRY'!$BE$4:$BE$1200,'Pt Nav-CareCoor-CaseMgt Report'!A31,'SERVICE ENTRY'!$F$4:$F$1200,"Salvadoran")+COUNTIFS('SERVICE ENTRY'!$BE$4:$BE$1200,'Pt Nav-CareCoor-CaseMgt Report'!A31,'SERVICE ENTRY'!$F$4:$F$1200,"Other Hispanic/Latino/Spanish origin")</f>
        <v>0</v>
      </c>
      <c r="K31" s="42">
        <f>COUNTIFS('SERVICE ENTRY'!$BE$4:$BE$1200,'Pt Nav-CareCoor-CaseMgt Report'!A31,'SERVICE ENTRY'!$F$4:$F$1200,"Not of Hispanic/Latino/Spanish origin")</f>
        <v>0</v>
      </c>
      <c r="L31" s="42">
        <f>COUNTIFS('SERVICE ENTRY'!$BE$4:$BE$1200,'Pt Nav-CareCoor-CaseMgt Report'!A31,'SERVICE ENTRY'!$F$4:$F$1200,"Unknown or Other")</f>
        <v>0</v>
      </c>
    </row>
    <row r="32" spans="1:12" ht="15" x14ac:dyDescent="0.25">
      <c r="A32" s="68" t="s">
        <v>72</v>
      </c>
      <c r="B32" s="106">
        <f>COUNTIF('SERVICE ENTRY'!$BE$4:$BE$1200,'Pt Nav-CareCoor-CaseMgt Report'!A32)</f>
        <v>0</v>
      </c>
      <c r="C32" s="92">
        <f>COUNTIFS('SERVICE ENTRY'!$BE$4:$BE$1200,'Pt Nav-CareCoor-CaseMgt Report'!A32,'SERVICE ENTRY'!$G$4:$G$1200,"American Indian or Alaska Native")</f>
        <v>0</v>
      </c>
      <c r="D32" s="42">
        <f>COUNTIFS('SERVICE ENTRY'!$BE$4:$BE$1200,'Pt Nav-CareCoor-CaseMgt Report'!A32,'SERVICE ENTRY'!$G$4:$G$1200,"Asian")</f>
        <v>0</v>
      </c>
      <c r="E32" s="42">
        <f>COUNTIFS('SERVICE ENTRY'!$BE$4:$BE$1200,'Pt Nav-CareCoor-CaseMgt Report'!A32,'SERVICE ENTRY'!$G$4:$G$1200,"Black/African-American")</f>
        <v>0</v>
      </c>
      <c r="F32" s="42">
        <f>COUNTIFS('SERVICE ENTRY'!$BE$4:$BE$1200,'Pt Nav-CareCoor-CaseMgt Report'!A32,'SERVICE ENTRY'!$G$4:$G$1200,"Middle Eastern or North African")</f>
        <v>0</v>
      </c>
      <c r="G32" s="42">
        <f>COUNTIFS('SERVICE ENTRY'!$BE$4:$BE$1200,'Pt Nav-CareCoor-CaseMgt Report'!A32,'SERVICE ENTRY'!$G$4:$G$1200,"Native Hawaiian or Pacific Islander")</f>
        <v>0</v>
      </c>
      <c r="H32" s="100">
        <f>COUNTIFS('SERVICE ENTRY'!$BE$4:$BE$1200,'Pt Nav-CareCoor-CaseMgt Report'!A32,'SERVICE ENTRY'!$G$4:$G$1200,"White")</f>
        <v>0</v>
      </c>
      <c r="I32" s="106">
        <f>COUNTIFS('SERVICE ENTRY'!$BE$4:$BE$1200,'Pt Nav-CareCoor-CaseMgt Report'!A32,'SERVICE ENTRY'!$G$4:$G$1200,"Unknown or Other")</f>
        <v>0</v>
      </c>
      <c r="J32" s="102">
        <f>COUNTIFS('SERVICE ENTRY'!$BE$4:$BE$1200,'Pt Nav-CareCoor-CaseMgt Report'!A32,'SERVICE ENTRY'!$F$4:$F$1200,"Colombian")+COUNTIFS('SERVICE ENTRY'!$BE$4:$BE$1200,'Pt Nav-CareCoor-CaseMgt Report'!A32,'SERVICE ENTRY'!$F$4:$F$1200,"Cuban")+COUNTIFS('SERVICE ENTRY'!$BE$4:$BE$1200,'Pt Nav-CareCoor-CaseMgt Report'!A32,'SERVICE ENTRY'!$F$4:$F$1200,"Dominican")+COUNTIFS('SERVICE ENTRY'!$BE$4:$BE$1200,'Pt Nav-CareCoor-CaseMgt Report'!A32,'SERVICE ENTRY'!$F$4:$F$1200,"Mexican/Mexican-American/Chicano")+COUNTIFS('SERVICE ENTRY'!$BE$4:$BE$1200,'Pt Nav-CareCoor-CaseMgt Report'!A32,'SERVICE ENTRY'!$F$4:$F$1200,"Puerto Rican")+COUNTIFS('SERVICE ENTRY'!$BE$4:$BE$1200,'Pt Nav-CareCoor-CaseMgt Report'!A32,'SERVICE ENTRY'!$F$4:$F$1200,"Salvadoran")+COUNTIFS('SERVICE ENTRY'!$BE$4:$BE$1200,'Pt Nav-CareCoor-CaseMgt Report'!A32,'SERVICE ENTRY'!$F$4:$F$1200,"Other Hispanic/Latino/Spanish origin")</f>
        <v>0</v>
      </c>
      <c r="K32" s="42">
        <f>COUNTIFS('SERVICE ENTRY'!$BE$4:$BE$1200,'Pt Nav-CareCoor-CaseMgt Report'!A32,'SERVICE ENTRY'!$F$4:$F$1200,"Not of Hispanic/Latino/Spanish origin")</f>
        <v>0</v>
      </c>
      <c r="L32" s="42">
        <f>COUNTIFS('SERVICE ENTRY'!$BE$4:$BE$1200,'Pt Nav-CareCoor-CaseMgt Report'!A32,'SERVICE ENTRY'!$F$4:$F$1200,"Unknown or Other")</f>
        <v>0</v>
      </c>
    </row>
    <row r="33" spans="1:12" ht="15" x14ac:dyDescent="0.25">
      <c r="A33" s="68" t="s">
        <v>139</v>
      </c>
      <c r="B33" s="106">
        <f>COUNTIF('SERVICE ENTRY'!$BE$4:$BE$1200,'Pt Nav-CareCoor-CaseMgt Report'!A33)</f>
        <v>0</v>
      </c>
      <c r="C33" s="92">
        <f>COUNTIFS('SERVICE ENTRY'!$BE$4:$BE$1200,'Pt Nav-CareCoor-CaseMgt Report'!A33,'SERVICE ENTRY'!$G$4:$G$1200,"American Indian or Alaska Native")</f>
        <v>0</v>
      </c>
      <c r="D33" s="42">
        <f>COUNTIFS('SERVICE ENTRY'!$BE$4:$BE$1200,'Pt Nav-CareCoor-CaseMgt Report'!A33,'SERVICE ENTRY'!$G$4:$G$1200,"Asian")</f>
        <v>0</v>
      </c>
      <c r="E33" s="42">
        <f>COUNTIFS('SERVICE ENTRY'!$BE$4:$BE$1200,'Pt Nav-CareCoor-CaseMgt Report'!A33,'SERVICE ENTRY'!$G$4:$G$1200,"Black/African-American")</f>
        <v>0</v>
      </c>
      <c r="F33" s="42">
        <f>COUNTIFS('SERVICE ENTRY'!$BE$4:$BE$1200,'Pt Nav-CareCoor-CaseMgt Report'!A33,'SERVICE ENTRY'!$G$4:$G$1200,"Middle Eastern or North African")</f>
        <v>0</v>
      </c>
      <c r="G33" s="42">
        <f>COUNTIFS('SERVICE ENTRY'!$BE$4:$BE$1200,'Pt Nav-CareCoor-CaseMgt Report'!A33,'SERVICE ENTRY'!$G$4:$G$1200,"Native Hawaiian or Pacific Islander")</f>
        <v>0</v>
      </c>
      <c r="H33" s="100">
        <f>COUNTIFS('SERVICE ENTRY'!$BE$4:$BE$1200,'Pt Nav-CareCoor-CaseMgt Report'!A33,'SERVICE ENTRY'!$G$4:$G$1200,"White")</f>
        <v>0</v>
      </c>
      <c r="I33" s="106">
        <f>COUNTIFS('SERVICE ENTRY'!$BE$4:$BE$1200,'Pt Nav-CareCoor-CaseMgt Report'!A33,'SERVICE ENTRY'!$G$4:$G$1200,"Unknown or Other")</f>
        <v>0</v>
      </c>
      <c r="J33" s="102">
        <f>COUNTIFS('SERVICE ENTRY'!$BE$4:$BE$1200,'Pt Nav-CareCoor-CaseMgt Report'!A33,'SERVICE ENTRY'!$F$4:$F$1200,"Colombian")+COUNTIFS('SERVICE ENTRY'!$BE$4:$BE$1200,'Pt Nav-CareCoor-CaseMgt Report'!A33,'SERVICE ENTRY'!$F$4:$F$1200,"Cuban")+COUNTIFS('SERVICE ENTRY'!$BE$4:$BE$1200,'Pt Nav-CareCoor-CaseMgt Report'!A33,'SERVICE ENTRY'!$F$4:$F$1200,"Dominican")+COUNTIFS('SERVICE ENTRY'!$BE$4:$BE$1200,'Pt Nav-CareCoor-CaseMgt Report'!A33,'SERVICE ENTRY'!$F$4:$F$1200,"Mexican/Mexican-American/Chicano")+COUNTIFS('SERVICE ENTRY'!$BE$4:$BE$1200,'Pt Nav-CareCoor-CaseMgt Report'!A33,'SERVICE ENTRY'!$F$4:$F$1200,"Puerto Rican")+COUNTIFS('SERVICE ENTRY'!$BE$4:$BE$1200,'Pt Nav-CareCoor-CaseMgt Report'!A33,'SERVICE ENTRY'!$F$4:$F$1200,"Salvadoran")+COUNTIFS('SERVICE ENTRY'!$BE$4:$BE$1200,'Pt Nav-CareCoor-CaseMgt Report'!A33,'SERVICE ENTRY'!$F$4:$F$1200,"Other Hispanic/Latino/Spanish origin")</f>
        <v>0</v>
      </c>
      <c r="K33" s="42">
        <f>COUNTIFS('SERVICE ENTRY'!$BE$4:$BE$1200,'Pt Nav-CareCoor-CaseMgt Report'!A33,'SERVICE ENTRY'!$F$4:$F$1200,"Not of Hispanic/Latino/Spanish origin")</f>
        <v>0</v>
      </c>
      <c r="L33" s="42">
        <f>COUNTIFS('SERVICE ENTRY'!$BE$4:$BE$1200,'Pt Nav-CareCoor-CaseMgt Report'!A33,'SERVICE ENTRY'!$F$4:$F$1200,"Unknown or Other")</f>
        <v>0</v>
      </c>
    </row>
    <row r="34" spans="1:12" ht="15.75" thickBot="1" x14ac:dyDescent="0.3">
      <c r="A34" s="68" t="s">
        <v>122</v>
      </c>
      <c r="B34" s="106">
        <f>COUNTIF('SERVICE ENTRY'!$BE$4:$BE$1200,'Pt Nav-CareCoor-CaseMgt Report'!A34)</f>
        <v>0</v>
      </c>
      <c r="C34" s="115">
        <f>COUNTIFS('SERVICE ENTRY'!$BE$4:$BE$1200,'Pt Nav-CareCoor-CaseMgt Report'!A34,'SERVICE ENTRY'!$G$4:$G$1200,"American Indian or Alaska Native")</f>
        <v>0</v>
      </c>
      <c r="D34" s="99">
        <f>COUNTIFS('SERVICE ENTRY'!$BE$4:$BE$1200,'Pt Nav-CareCoor-CaseMgt Report'!A34,'SERVICE ENTRY'!$G$4:$G$1200,"Asian")</f>
        <v>0</v>
      </c>
      <c r="E34" s="99">
        <f>COUNTIFS('SERVICE ENTRY'!$BE$4:$BE$1200,'Pt Nav-CareCoor-CaseMgt Report'!A34,'SERVICE ENTRY'!$G$4:$G$1200,"Black/African-American")</f>
        <v>0</v>
      </c>
      <c r="F34" s="99">
        <f>COUNTIFS('SERVICE ENTRY'!$BE$4:$BE$1200,'Pt Nav-CareCoor-CaseMgt Report'!A34,'SERVICE ENTRY'!$G$4:$G$1200,"Middle Eastern or North African")</f>
        <v>0</v>
      </c>
      <c r="G34" s="99">
        <f>COUNTIFS('SERVICE ENTRY'!$BE$4:$BE$1200,'Pt Nav-CareCoor-CaseMgt Report'!A34,'SERVICE ENTRY'!$G$4:$G$1200,"Native Hawaiian or Pacific Islander")</f>
        <v>0</v>
      </c>
      <c r="H34" s="118">
        <f>COUNTIFS('SERVICE ENTRY'!$BE$4:$BE$1200,'Pt Nav-CareCoor-CaseMgt Report'!A34,'SERVICE ENTRY'!$G$4:$G$1200,"White")</f>
        <v>0</v>
      </c>
      <c r="I34" s="117">
        <f>COUNTIFS('SERVICE ENTRY'!$BE$4:$BE$1200,'Pt Nav-CareCoor-CaseMgt Report'!A34,'SERVICE ENTRY'!$G$4:$G$1200,"Unknown or Other")</f>
        <v>0</v>
      </c>
      <c r="J34" s="120">
        <f>COUNTIFS('SERVICE ENTRY'!$BE$4:$BE$1200,'Pt Nav-CareCoor-CaseMgt Report'!A34,'SERVICE ENTRY'!$F$4:$F$1200,"Colombian")+COUNTIFS('SERVICE ENTRY'!$BE$4:$BE$1200,'Pt Nav-CareCoor-CaseMgt Report'!A34,'SERVICE ENTRY'!$F$4:$F$1200,"Cuban")+COUNTIFS('SERVICE ENTRY'!$BE$4:$BE$1200,'Pt Nav-CareCoor-CaseMgt Report'!A34,'SERVICE ENTRY'!$F$4:$F$1200,"Dominican")+COUNTIFS('SERVICE ENTRY'!$BE$4:$BE$1200,'Pt Nav-CareCoor-CaseMgt Report'!A34,'SERVICE ENTRY'!$F$4:$F$1200,"Mexican/Mexican-American/Chicano")+COUNTIFS('SERVICE ENTRY'!$BE$4:$BE$1200,'Pt Nav-CareCoor-CaseMgt Report'!A34,'SERVICE ENTRY'!$F$4:$F$1200,"Puerto Rican")+COUNTIFS('SERVICE ENTRY'!$BE$4:$BE$1200,'Pt Nav-CareCoor-CaseMgt Report'!A34,'SERVICE ENTRY'!$F$4:$F$1200,"Salvadoran")+COUNTIFS('SERVICE ENTRY'!$BE$4:$BE$1200,'Pt Nav-CareCoor-CaseMgt Report'!A34,'SERVICE ENTRY'!$F$4:$F$1200,"Other Hispanic/Latino/Spanish origin")</f>
        <v>0</v>
      </c>
      <c r="K34" s="99">
        <f>COUNTIFS('SERVICE ENTRY'!$BE$4:$BE$1200,'Pt Nav-CareCoor-CaseMgt Report'!A34,'SERVICE ENTRY'!$F$4:$F$1200,"Not of Hispanic/Latino/Spanish origin")</f>
        <v>0</v>
      </c>
      <c r="L34" s="99">
        <f>COUNTIFS('SERVICE ENTRY'!$BE$4:$BE$1200,'Pt Nav-CareCoor-CaseMgt Report'!A34,'SERVICE ENTRY'!$F$4:$F$1200,"Unknown or Other")</f>
        <v>0</v>
      </c>
    </row>
    <row r="35" spans="1:12" ht="16.5" customHeight="1" thickBot="1" x14ac:dyDescent="0.3">
      <c r="A35" s="365" t="s">
        <v>269</v>
      </c>
      <c r="B35" s="367">
        <f>SUM(B29:B34)</f>
        <v>0</v>
      </c>
      <c r="C35" s="198">
        <f>SUM(C30:C34)</f>
        <v>0</v>
      </c>
      <c r="D35" s="215">
        <f t="shared" ref="D35:L35" si="1">SUM(D30:D34)</f>
        <v>0</v>
      </c>
      <c r="E35" s="215">
        <f t="shared" si="1"/>
        <v>0</v>
      </c>
      <c r="F35" s="215">
        <f t="shared" si="1"/>
        <v>0</v>
      </c>
      <c r="G35" s="215">
        <f t="shared" si="1"/>
        <v>0</v>
      </c>
      <c r="H35" s="215">
        <f t="shared" si="1"/>
        <v>0</v>
      </c>
      <c r="I35" s="217">
        <f t="shared" si="1"/>
        <v>0</v>
      </c>
      <c r="J35" s="198">
        <f t="shared" si="1"/>
        <v>0</v>
      </c>
      <c r="K35" s="215">
        <f t="shared" si="1"/>
        <v>0</v>
      </c>
      <c r="L35" s="216">
        <f t="shared" si="1"/>
        <v>0</v>
      </c>
    </row>
    <row r="36" spans="1:12" ht="31.5" customHeight="1" thickBot="1" x14ac:dyDescent="0.3">
      <c r="A36" s="366"/>
      <c r="B36" s="368"/>
      <c r="C36" s="372">
        <f>SUM(C35:I35)</f>
        <v>0</v>
      </c>
      <c r="D36" s="373"/>
      <c r="E36" s="373"/>
      <c r="F36" s="373"/>
      <c r="G36" s="373"/>
      <c r="H36" s="373"/>
      <c r="I36" s="373"/>
      <c r="J36" s="372">
        <f>SUM(J35:L35)</f>
        <v>0</v>
      </c>
      <c r="K36" s="373"/>
      <c r="L36" s="374"/>
    </row>
    <row r="37" spans="1:12" ht="16.5" customHeight="1" x14ac:dyDescent="0.2"/>
    <row r="38" spans="1:12" ht="16.5" customHeight="1" x14ac:dyDescent="0.2"/>
    <row r="39" spans="1:12" ht="66" customHeight="1" x14ac:dyDescent="0.2">
      <c r="A39" s="23" t="s">
        <v>216</v>
      </c>
      <c r="B39" s="123" t="s">
        <v>283</v>
      </c>
      <c r="C39" s="8" t="s">
        <v>250</v>
      </c>
      <c r="D39" s="8" t="s">
        <v>251</v>
      </c>
      <c r="E39" s="8" t="s">
        <v>246</v>
      </c>
      <c r="F39" s="8" t="s">
        <v>373</v>
      </c>
      <c r="G39" s="8" t="s">
        <v>252</v>
      </c>
      <c r="H39" s="8" t="s">
        <v>248</v>
      </c>
      <c r="I39" s="14" t="s">
        <v>388</v>
      </c>
      <c r="J39" s="122" t="s">
        <v>247</v>
      </c>
      <c r="K39" s="8" t="s">
        <v>324</v>
      </c>
      <c r="L39" s="8" t="s">
        <v>388</v>
      </c>
    </row>
    <row r="40" spans="1:12" ht="18.75" customHeight="1" x14ac:dyDescent="0.25">
      <c r="A40" s="68" t="s">
        <v>204</v>
      </c>
      <c r="B40" s="106">
        <f>COUNTIF('SERVICE ENTRY'!$BF$4:$BF$1200,'Pt Nav-CareCoor-CaseMgt Report'!A40)</f>
        <v>0</v>
      </c>
      <c r="C40" s="92">
        <f>COUNTIFS('SERVICE ENTRY'!$BF$4:$BF$1200,'Pt Nav-CareCoor-CaseMgt Report'!A40,'SERVICE ENTRY'!$G$4:$G$1200,"American Indian or Alaska Native")</f>
        <v>0</v>
      </c>
      <c r="D40" s="42">
        <f>COUNTIFS('SERVICE ENTRY'!$BF$4:$BF$1200,'Pt Nav-CareCoor-CaseMgt Report'!A40,'SERVICE ENTRY'!$G$4:$G$1200,"Asian")</f>
        <v>0</v>
      </c>
      <c r="E40" s="42">
        <f>COUNTIFS('SERVICE ENTRY'!$BF$4:$BF$1200,'Pt Nav-CareCoor-CaseMgt Report'!A40,'SERVICE ENTRY'!$G$4:$G$1200,"Black/African-American")</f>
        <v>0</v>
      </c>
      <c r="F40" s="42">
        <f>COUNTIFS('SERVICE ENTRY'!$BF$4:$BF$1200,'Pt Nav-CareCoor-CaseMgt Report'!A40,'SERVICE ENTRY'!$G$4:$G$1200,"Middle Eastern or North African")</f>
        <v>0</v>
      </c>
      <c r="G40" s="42">
        <f>COUNTIFS('SERVICE ENTRY'!$BF$4:$BF$1200,'Pt Nav-CareCoor-CaseMgt Report'!A40,'SERVICE ENTRY'!$G$4:$G$1200,"Native Hawaiian or Pacific Islander")</f>
        <v>0</v>
      </c>
      <c r="H40" s="42">
        <f>COUNTIFS('SERVICE ENTRY'!$BF$4:$BF$1200,'Pt Nav-CareCoor-CaseMgt Report'!A40,'SERVICE ENTRY'!$G$4:$G$1200,"White")</f>
        <v>0</v>
      </c>
      <c r="I40" s="92">
        <f>COUNTIFS('SERVICE ENTRY'!$BF$4:$BF$1200,'Pt Nav-CareCoor-CaseMgt Report'!A40,'SERVICE ENTRY'!$G$4:$G$1200,"Unknown or Other")</f>
        <v>0</v>
      </c>
      <c r="J40" s="102">
        <f>COUNTIFS('SERVICE ENTRY'!$BF$4:$BF$1200,'Pt Nav-CareCoor-CaseMgt Report'!A40,'SERVICE ENTRY'!$F$4:$F$1200,"Colombian")+COUNTIFS('SERVICE ENTRY'!$BF$4:$BF$1200,'Pt Nav-CareCoor-CaseMgt Report'!A40,'SERVICE ENTRY'!$F$4:$F$1200,"Cuban")+COUNTIFS('SERVICE ENTRY'!$BF$4:$BF$1200,'Pt Nav-CareCoor-CaseMgt Report'!A40,'SERVICE ENTRY'!$F$4:$F$1200,"Dominican")+COUNTIFS('SERVICE ENTRY'!$BF$4:$BF$1200,'Pt Nav-CareCoor-CaseMgt Report'!A40,'SERVICE ENTRY'!$F$4:$F$1200,"Mexican/Mexican-American/Chicano")+COUNTIFS('SERVICE ENTRY'!$BF$4:$BF$1200,'Pt Nav-CareCoor-CaseMgt Report'!A40,'SERVICE ENTRY'!$F$4:$F$1200,"Puerto Rican")+COUNTIFS('SERVICE ENTRY'!$BF$4:$BF$1200,'Pt Nav-CareCoor-CaseMgt Report'!A40,'SERVICE ENTRY'!$F$4:$F$1200,"Salvadoran")+COUNTIFS('SERVICE ENTRY'!$BF$4:$BF$1200,'Pt Nav-CareCoor-CaseMgt Report'!A40,'SERVICE ENTRY'!$F$4:$F$1200,"Other Hispanic/Latino/Spanish origin")</f>
        <v>0</v>
      </c>
      <c r="K40" s="42">
        <f>COUNTIFS('SERVICE ENTRY'!$BF$4:$BF$1200,'Pt Nav-CareCoor-CaseMgt Report'!A40,'SERVICE ENTRY'!$F$4:$F$1200,"Not of Hispanic/Latino/Spanish origin")</f>
        <v>0</v>
      </c>
      <c r="L40" s="42">
        <f>COUNTIFS('SERVICE ENTRY'!$BF$4:$BF$1200,'Pt Nav-CareCoor-CaseMgt Report'!A40,'SERVICE ENTRY'!$F$4:$F$1200,"Unknown or Other")</f>
        <v>0</v>
      </c>
    </row>
    <row r="41" spans="1:12" ht="15" x14ac:dyDescent="0.25">
      <c r="A41" s="68" t="s">
        <v>205</v>
      </c>
      <c r="B41" s="106">
        <f>COUNTIF('SERVICE ENTRY'!$BF$4:$BF$1200,'Pt Nav-CareCoor-CaseMgt Report'!A41)</f>
        <v>0</v>
      </c>
      <c r="C41" s="92">
        <f>COUNTIFS('SERVICE ENTRY'!$BF$4:$BF$1200,'Pt Nav-CareCoor-CaseMgt Report'!A41,'SERVICE ENTRY'!$G$4:$G$1200,"American Indian or Alaska Native")</f>
        <v>0</v>
      </c>
      <c r="D41" s="42">
        <f>COUNTIFS('SERVICE ENTRY'!$BF$4:$BF$1200,'Pt Nav-CareCoor-CaseMgt Report'!A41,'SERVICE ENTRY'!$G$4:$G$1200,"Asian")</f>
        <v>0</v>
      </c>
      <c r="E41" s="42">
        <f>COUNTIFS('SERVICE ENTRY'!$BF$4:$BF$1200,'Pt Nav-CareCoor-CaseMgt Report'!A41,'SERVICE ENTRY'!$G$4:$G$1200,"Black/African-American")</f>
        <v>0</v>
      </c>
      <c r="F41" s="42">
        <f>COUNTIFS('SERVICE ENTRY'!$BF$4:$BF$1200,'Pt Nav-CareCoor-CaseMgt Report'!A41,'SERVICE ENTRY'!$G$4:$G$1200,"Middle Eastern or North African")</f>
        <v>0</v>
      </c>
      <c r="G41" s="42">
        <f>COUNTIFS('SERVICE ENTRY'!$BF$4:$BF$1200,'Pt Nav-CareCoor-CaseMgt Report'!A41,'SERVICE ENTRY'!$G$4:$G$1200,"Native Hawaiian or Pacific Islander")</f>
        <v>0</v>
      </c>
      <c r="H41" s="42">
        <f>COUNTIFS('SERVICE ENTRY'!$BF$4:$BF$1200,'Pt Nav-CareCoor-CaseMgt Report'!A41,'SERVICE ENTRY'!$G$4:$G$1200,"White")</f>
        <v>0</v>
      </c>
      <c r="I41" s="92">
        <f>COUNTIFS('SERVICE ENTRY'!$BF$4:$BF$1200,'Pt Nav-CareCoor-CaseMgt Report'!A41,'SERVICE ENTRY'!$G$4:$G$1200,"Unknown or Other")</f>
        <v>0</v>
      </c>
      <c r="J41" s="102">
        <f>COUNTIFS('SERVICE ENTRY'!$BF$4:$BF$1200,'Pt Nav-CareCoor-CaseMgt Report'!A41,'SERVICE ENTRY'!$F$4:$F$1200,"Colombian")+COUNTIFS('SERVICE ENTRY'!$BF$4:$BF$1200,'Pt Nav-CareCoor-CaseMgt Report'!A41,'SERVICE ENTRY'!$F$4:$F$1200,"Cuban")+COUNTIFS('SERVICE ENTRY'!$BF$4:$BF$1200,'Pt Nav-CareCoor-CaseMgt Report'!A41,'SERVICE ENTRY'!$F$4:$F$1200,"Dominican")+COUNTIFS('SERVICE ENTRY'!$BF$4:$BF$1200,'Pt Nav-CareCoor-CaseMgt Report'!A41,'SERVICE ENTRY'!$F$4:$F$1200,"Mexican/Mexican-American/Chicano")+COUNTIFS('SERVICE ENTRY'!$BF$4:$BF$1200,'Pt Nav-CareCoor-CaseMgt Report'!A41,'SERVICE ENTRY'!$F$4:$F$1200,"Puerto Rican")+COUNTIFS('SERVICE ENTRY'!$BF$4:$BF$1200,'Pt Nav-CareCoor-CaseMgt Report'!A41,'SERVICE ENTRY'!$F$4:$F$1200,"Salvadoran")+COUNTIFS('SERVICE ENTRY'!$BF$4:$BF$1200,'Pt Nav-CareCoor-CaseMgt Report'!A41,'SERVICE ENTRY'!$F$4:$F$1200,"Other Hispanic/Latino/Spanish origin")</f>
        <v>0</v>
      </c>
      <c r="K41" s="42">
        <f>COUNTIFS('SERVICE ENTRY'!$BF$4:$BF$1200,'Pt Nav-CareCoor-CaseMgt Report'!A41,'SERVICE ENTRY'!$F$4:$F$1200,"Not of Hispanic/Latino/Spanish origin")</f>
        <v>0</v>
      </c>
      <c r="L41" s="42">
        <f>COUNTIFS('SERVICE ENTRY'!$BF$4:$BF$1200,'Pt Nav-CareCoor-CaseMgt Report'!A41,'SERVICE ENTRY'!$F$4:$F$1200,"Unknown or Other")</f>
        <v>0</v>
      </c>
    </row>
    <row r="42" spans="1:12" ht="15" x14ac:dyDescent="0.25">
      <c r="A42" s="68" t="s">
        <v>206</v>
      </c>
      <c r="B42" s="106">
        <f>COUNTIF('SERVICE ENTRY'!$BF$4:$BF$1200,'Pt Nav-CareCoor-CaseMgt Report'!A42)</f>
        <v>0</v>
      </c>
      <c r="C42" s="92">
        <f>COUNTIFS('SERVICE ENTRY'!$BF$4:$BF$1200,'Pt Nav-CareCoor-CaseMgt Report'!A42,'SERVICE ENTRY'!$G$4:$G$1200,"American Indian or Alaska Native")</f>
        <v>0</v>
      </c>
      <c r="D42" s="42">
        <f>COUNTIFS('SERVICE ENTRY'!$BF$4:$BF$1200,'Pt Nav-CareCoor-CaseMgt Report'!A42,'SERVICE ENTRY'!$G$4:$G$1200,"Asian")</f>
        <v>0</v>
      </c>
      <c r="E42" s="42">
        <f>COUNTIFS('SERVICE ENTRY'!$BF$4:$BF$1200,'Pt Nav-CareCoor-CaseMgt Report'!A42,'SERVICE ENTRY'!$G$4:$G$1200,"Black/African-American")</f>
        <v>0</v>
      </c>
      <c r="F42" s="42">
        <f>COUNTIFS('SERVICE ENTRY'!$BF$4:$BF$1200,'Pt Nav-CareCoor-CaseMgt Report'!A42,'SERVICE ENTRY'!$G$4:$G$1200,"Middle Eastern or North African")</f>
        <v>0</v>
      </c>
      <c r="G42" s="42">
        <f>COUNTIFS('SERVICE ENTRY'!$BF$4:$BF$1200,'Pt Nav-CareCoor-CaseMgt Report'!A42,'SERVICE ENTRY'!$G$4:$G$1200,"Native Hawaiian or Pacific Islander")</f>
        <v>0</v>
      </c>
      <c r="H42" s="42">
        <f>COUNTIFS('SERVICE ENTRY'!$BF$4:$BF$1200,'Pt Nav-CareCoor-CaseMgt Report'!A42,'SERVICE ENTRY'!$G$4:$G$1200,"White")</f>
        <v>0</v>
      </c>
      <c r="I42" s="92">
        <f>COUNTIFS('SERVICE ENTRY'!$BF$4:$BF$1200,'Pt Nav-CareCoor-CaseMgt Report'!A42,'SERVICE ENTRY'!$G$4:$G$1200,"Unknown or Other")</f>
        <v>0</v>
      </c>
      <c r="J42" s="102">
        <f>COUNTIFS('SERVICE ENTRY'!$BF$4:$BF$1200,'Pt Nav-CareCoor-CaseMgt Report'!A42,'SERVICE ENTRY'!$F$4:$F$1200,"Colombian")+COUNTIFS('SERVICE ENTRY'!$BF$4:$BF$1200,'Pt Nav-CareCoor-CaseMgt Report'!A42,'SERVICE ENTRY'!$F$4:$F$1200,"Cuban")+COUNTIFS('SERVICE ENTRY'!$BF$4:$BF$1200,'Pt Nav-CareCoor-CaseMgt Report'!A42,'SERVICE ENTRY'!$F$4:$F$1200,"Dominican")+COUNTIFS('SERVICE ENTRY'!$BF$4:$BF$1200,'Pt Nav-CareCoor-CaseMgt Report'!A42,'SERVICE ENTRY'!$F$4:$F$1200,"Mexican/Mexican-American/Chicano")+COUNTIFS('SERVICE ENTRY'!$BF$4:$BF$1200,'Pt Nav-CareCoor-CaseMgt Report'!A42,'SERVICE ENTRY'!$F$4:$F$1200,"Puerto Rican")+COUNTIFS('SERVICE ENTRY'!$BF$4:$BF$1200,'Pt Nav-CareCoor-CaseMgt Report'!A42,'SERVICE ENTRY'!$F$4:$F$1200,"Salvadoran")+COUNTIFS('SERVICE ENTRY'!$BF$4:$BF$1200,'Pt Nav-CareCoor-CaseMgt Report'!A42,'SERVICE ENTRY'!$F$4:$F$1200,"Other Hispanic/Latino/Spanish origin")</f>
        <v>0</v>
      </c>
      <c r="K42" s="42">
        <f>COUNTIFS('SERVICE ENTRY'!$BF$4:$BF$1200,'Pt Nav-CareCoor-CaseMgt Report'!A42,'SERVICE ENTRY'!$F$4:$F$1200,"Not of Hispanic/Latino/Spanish origin")</f>
        <v>0</v>
      </c>
      <c r="L42" s="42">
        <f>COUNTIFS('SERVICE ENTRY'!$BF$4:$BF$1200,'Pt Nav-CareCoor-CaseMgt Report'!A42,'SERVICE ENTRY'!$F$4:$F$1200,"Unknown or Other")</f>
        <v>0</v>
      </c>
    </row>
    <row r="43" spans="1:12" ht="15.75" thickBot="1" x14ac:dyDescent="0.3">
      <c r="A43" s="68" t="s">
        <v>207</v>
      </c>
      <c r="B43" s="106">
        <f>COUNTIF('SERVICE ENTRY'!$BF$4:$BF$1200,'Pt Nav-CareCoor-CaseMgt Report'!A43)</f>
        <v>0</v>
      </c>
      <c r="C43" s="92">
        <f>COUNTIFS('SERVICE ENTRY'!$BF$4:$BF$1200,'Pt Nav-CareCoor-CaseMgt Report'!A43,'SERVICE ENTRY'!$G$4:$G$1200,"American Indian or Alaska Native")</f>
        <v>0</v>
      </c>
      <c r="D43" s="42">
        <f>COUNTIFS('SERVICE ENTRY'!$BF$4:$BF$1200,'Pt Nav-CareCoor-CaseMgt Report'!A43,'SERVICE ENTRY'!$G$4:$G$1200,"Asian")</f>
        <v>0</v>
      </c>
      <c r="E43" s="42">
        <f>COUNTIFS('SERVICE ENTRY'!$BF$4:$BF$1200,'Pt Nav-CareCoor-CaseMgt Report'!A43,'SERVICE ENTRY'!$G$4:$G$1200,"Black/African-American")</f>
        <v>0</v>
      </c>
      <c r="F43" s="42">
        <f>COUNTIFS('SERVICE ENTRY'!$BF$4:$BF$1200,'Pt Nav-CareCoor-CaseMgt Report'!A43,'SERVICE ENTRY'!$G$4:$G$1200,"Middle Eastern or North African")</f>
        <v>0</v>
      </c>
      <c r="G43" s="42">
        <f>COUNTIFS('SERVICE ENTRY'!$BF$4:$BF$1200,'Pt Nav-CareCoor-CaseMgt Report'!A43,'SERVICE ENTRY'!$G$4:$G$1200,"Native Hawaiian or Pacific Islander")</f>
        <v>0</v>
      </c>
      <c r="H43" s="42">
        <f>COUNTIFS('SERVICE ENTRY'!$BF$4:$BF$1200,'Pt Nav-CareCoor-CaseMgt Report'!A43,'SERVICE ENTRY'!$G$4:$G$1200,"White")</f>
        <v>0</v>
      </c>
      <c r="I43" s="92">
        <f>COUNTIFS('SERVICE ENTRY'!$BF$4:$BF$1200,'Pt Nav-CareCoor-CaseMgt Report'!A43,'SERVICE ENTRY'!$G$4:$G$1200,"Unknown or Other")</f>
        <v>0</v>
      </c>
      <c r="J43" s="102">
        <f>COUNTIFS('SERVICE ENTRY'!$BF$4:$BF$1200,'Pt Nav-CareCoor-CaseMgt Report'!A43,'SERVICE ENTRY'!$F$4:$F$1200,"Colombian")+COUNTIFS('SERVICE ENTRY'!$BF$4:$BF$1200,'Pt Nav-CareCoor-CaseMgt Report'!A43,'SERVICE ENTRY'!$F$4:$F$1200,"Cuban")+COUNTIFS('SERVICE ENTRY'!$BF$4:$BF$1200,'Pt Nav-CareCoor-CaseMgt Report'!A43,'SERVICE ENTRY'!$F$4:$F$1200,"Dominican")+COUNTIFS('SERVICE ENTRY'!$BF$4:$BF$1200,'Pt Nav-CareCoor-CaseMgt Report'!A43,'SERVICE ENTRY'!$F$4:$F$1200,"Mexican/Mexican-American/Chicano")+COUNTIFS('SERVICE ENTRY'!$BF$4:$BF$1200,'Pt Nav-CareCoor-CaseMgt Report'!A43,'SERVICE ENTRY'!$F$4:$F$1200,"Puerto Rican")+COUNTIFS('SERVICE ENTRY'!$BF$4:$BF$1200,'Pt Nav-CareCoor-CaseMgt Report'!A43,'SERVICE ENTRY'!$F$4:$F$1200,"Salvadoran")+COUNTIFS('SERVICE ENTRY'!$BF$4:$BF$1200,'Pt Nav-CareCoor-CaseMgt Report'!A43,'SERVICE ENTRY'!$F$4:$F$1200,"Other Hispanic/Latino/Spanish origin")</f>
        <v>0</v>
      </c>
      <c r="K43" s="42">
        <f>COUNTIFS('SERVICE ENTRY'!$BF$4:$BF$1200,'Pt Nav-CareCoor-CaseMgt Report'!A43,'SERVICE ENTRY'!$F$4:$F$1200,"Not of Hispanic/Latino/Spanish origin")</f>
        <v>0</v>
      </c>
      <c r="L43" s="42">
        <f>COUNTIFS('SERVICE ENTRY'!$BF$4:$BF$1200,'Pt Nav-CareCoor-CaseMgt Report'!A43,'SERVICE ENTRY'!$F$4:$F$1200,"Unknown or Other")</f>
        <v>0</v>
      </c>
    </row>
    <row r="44" spans="1:12" ht="23.25" customHeight="1" thickBot="1" x14ac:dyDescent="0.3">
      <c r="C44" s="369">
        <f>SUM(C40:I43)</f>
        <v>0</v>
      </c>
      <c r="D44" s="370"/>
      <c r="E44" s="370"/>
      <c r="F44" s="370"/>
      <c r="G44" s="370"/>
      <c r="H44" s="370"/>
      <c r="I44" s="370"/>
      <c r="J44" s="369">
        <f>SUM(J40:L43)</f>
        <v>0</v>
      </c>
      <c r="K44" s="370"/>
      <c r="L44" s="371"/>
    </row>
    <row r="47" spans="1:12" ht="36.75" customHeight="1" x14ac:dyDescent="0.2">
      <c r="A47" s="433" t="s">
        <v>291</v>
      </c>
      <c r="B47" s="434"/>
      <c r="C47" s="434"/>
      <c r="D47" s="434"/>
      <c r="E47" s="434"/>
      <c r="F47" s="434"/>
      <c r="G47" s="434"/>
      <c r="H47" s="434"/>
      <c r="I47" s="434"/>
      <c r="J47" s="434"/>
      <c r="K47" s="434"/>
      <c r="L47" s="182"/>
    </row>
    <row r="48" spans="1:12" ht="30" customHeight="1" x14ac:dyDescent="0.2">
      <c r="A48" s="59" t="s">
        <v>255</v>
      </c>
      <c r="B48" s="59" t="s">
        <v>254</v>
      </c>
      <c r="C48" s="401" t="s">
        <v>326</v>
      </c>
      <c r="D48" s="402"/>
      <c r="E48" s="402"/>
      <c r="F48" s="402"/>
      <c r="G48" s="402"/>
      <c r="H48" s="402"/>
      <c r="I48" s="403"/>
      <c r="J48" s="400" t="s">
        <v>327</v>
      </c>
      <c r="K48" s="400"/>
      <c r="L48" s="400"/>
    </row>
    <row r="49" spans="1:14" ht="60" x14ac:dyDescent="0.2">
      <c r="A49" s="25" t="s">
        <v>384</v>
      </c>
      <c r="B49" s="107" t="s">
        <v>385</v>
      </c>
      <c r="C49" s="9" t="s">
        <v>250</v>
      </c>
      <c r="D49" s="9" t="s">
        <v>251</v>
      </c>
      <c r="E49" s="9" t="s">
        <v>246</v>
      </c>
      <c r="F49" s="9" t="s">
        <v>373</v>
      </c>
      <c r="G49" s="9" t="s">
        <v>252</v>
      </c>
      <c r="H49" s="9" t="s">
        <v>248</v>
      </c>
      <c r="I49" s="199" t="s">
        <v>388</v>
      </c>
      <c r="J49" s="206" t="s">
        <v>247</v>
      </c>
      <c r="K49" s="207" t="s">
        <v>324</v>
      </c>
      <c r="L49" s="199" t="s">
        <v>388</v>
      </c>
    </row>
    <row r="50" spans="1:14" ht="17.25" customHeight="1" x14ac:dyDescent="0.25">
      <c r="A50" s="68" t="s">
        <v>354</v>
      </c>
      <c r="B50" s="106">
        <f>COUNTIF('SERVICE ENTRY'!$BH$4:$BH$1200,'Pt Nav-CareCoor-CaseMgt Report'!A50)</f>
        <v>0</v>
      </c>
      <c r="C50" s="92">
        <f>COUNTIFS('SERVICE ENTRY'!$BH$4:$BH$1200,'Pt Nav-CareCoor-CaseMgt Report'!A50,'SERVICE ENTRY'!$G$4:$G$1200,"American Indian or Alaska Native")</f>
        <v>0</v>
      </c>
      <c r="D50" s="42">
        <f>COUNTIFS('SERVICE ENTRY'!$BH$4:$BH$1200,'Pt Nav-CareCoor-CaseMgt Report'!A50,'SERVICE ENTRY'!$G$4:$G$1200,"Asian")</f>
        <v>0</v>
      </c>
      <c r="E50" s="42">
        <f>COUNTIFS('SERVICE ENTRY'!$BH$4:$BH$1200,'Pt Nav-CareCoor-CaseMgt Report'!A50,'SERVICE ENTRY'!$G$4:$G$1200,"Black/African-American")</f>
        <v>0</v>
      </c>
      <c r="F50" s="42">
        <f>COUNTIFS('SERVICE ENTRY'!$BH$4:$BH$1200,'Pt Nav-CareCoor-CaseMgt Report'!A50,'SERVICE ENTRY'!$G$4:$G$1200,"Middle Eastern or North African")</f>
        <v>0</v>
      </c>
      <c r="G50" s="42">
        <f>COUNTIFS('SERVICE ENTRY'!$BH$4:$BH$1200,'Pt Nav-CareCoor-CaseMgt Report'!A50,'SERVICE ENTRY'!$G$4:$G$1200,"Native Hawaiian or Pacific Islander")</f>
        <v>0</v>
      </c>
      <c r="H50" s="100">
        <f>COUNTIFS('SERVICE ENTRY'!$BH$4:$BH$1200,'Pt Nav-CareCoor-CaseMgt Report'!A50,'SERVICE ENTRY'!$G$4:$G$1200,"White")</f>
        <v>0</v>
      </c>
      <c r="I50" s="106">
        <f>COUNTIFS('SERVICE ENTRY'!$BH$4:$BH$1200,'Pt Nav-CareCoor-CaseMgt Report'!A50,'SERVICE ENTRY'!$G$4:$G$1200,"Unknown or Other")</f>
        <v>0</v>
      </c>
      <c r="J50" s="102">
        <f>COUNTIFS('SERVICE ENTRY'!$BH$4:$BH$1200,'Pt Nav-CareCoor-CaseMgt Report'!A50,'SERVICE ENTRY'!$F$4:$F$1200,"Colombian")+COUNTIFS('SERVICE ENTRY'!$BH$4:$BH$1200,'Pt Nav-CareCoor-CaseMgt Report'!A50,'SERVICE ENTRY'!$F$4:$F$1200,"Cuban")+COUNTIFS('SERVICE ENTRY'!$BH$4:$BH$1200,'Pt Nav-CareCoor-CaseMgt Report'!A50,'SERVICE ENTRY'!$F$4:$F$1200,"Dominican")+COUNTIFS('SERVICE ENTRY'!$BH$4:$BH$1200,'Pt Nav-CareCoor-CaseMgt Report'!A50,'SERVICE ENTRY'!$F$4:$F$1200,"Mexican/Mexican-American/Chicano")+COUNTIFS('SERVICE ENTRY'!$BH$4:$BH$1200,'Pt Nav-CareCoor-CaseMgt Report'!A50,'SERVICE ENTRY'!$F$4:$F$1200,"Puerto Rican")+COUNTIFS('SERVICE ENTRY'!$BH$4:$BH$1200,'Pt Nav-CareCoor-CaseMgt Report'!A50,'SERVICE ENTRY'!$F$4:$F$1200,"Salvadoran")+COUNTIFS('SERVICE ENTRY'!$BH$4:$BH$1200,'Pt Nav-CareCoor-CaseMgt Report'!A50,'SERVICE ENTRY'!$F$4:$F$1200,"Other Hispanic/Latino/Spanish origin")</f>
        <v>0</v>
      </c>
      <c r="K50" s="42">
        <f>COUNTIFS('SERVICE ENTRY'!$BH$4:$BH$1200,'Pt Nav-CareCoor-CaseMgt Report'!A50,'SERVICE ENTRY'!$F$4:$F$1200,"Not of Hispanic/Latino/Spanish origin")</f>
        <v>0</v>
      </c>
      <c r="L50" s="42">
        <f>COUNTIFS('SERVICE ENTRY'!$BH$4:$BH$1200,'Pt Nav-CareCoor-CaseMgt Report'!A50,'SERVICE ENTRY'!$F$4:$F$1200,"Unknown or Other")</f>
        <v>0</v>
      </c>
    </row>
    <row r="51" spans="1:14" ht="15" x14ac:dyDescent="0.25">
      <c r="A51" s="68" t="s">
        <v>70</v>
      </c>
      <c r="B51" s="106">
        <f>COUNTIF('SERVICE ENTRY'!$BH$4:$BH$1200,'Pt Nav-CareCoor-CaseMgt Report'!A51)</f>
        <v>0</v>
      </c>
      <c r="C51" s="92">
        <f>COUNTIFS('SERVICE ENTRY'!$BH$4:$BH$1200,'Pt Nav-CareCoor-CaseMgt Report'!A51,'SERVICE ENTRY'!$G$4:$G$1200,"American Indian or Alaska Native")</f>
        <v>0</v>
      </c>
      <c r="D51" s="42">
        <f>COUNTIFS('SERVICE ENTRY'!$BH$4:$BH$1200,'Pt Nav-CareCoor-CaseMgt Report'!A51,'SERVICE ENTRY'!$G$4:$G$1200,"Asian")</f>
        <v>0</v>
      </c>
      <c r="E51" s="42">
        <f>COUNTIFS('SERVICE ENTRY'!$BH$4:$BH$1200,'Pt Nav-CareCoor-CaseMgt Report'!A51,'SERVICE ENTRY'!$G$4:$G$1200,"Black/African-American")</f>
        <v>0</v>
      </c>
      <c r="F51" s="42">
        <f>COUNTIFS('SERVICE ENTRY'!$BH$4:$BH$1200,'Pt Nav-CareCoor-CaseMgt Report'!A51,'SERVICE ENTRY'!$G$4:$G$1200,"Middle Eastern or North African")</f>
        <v>0</v>
      </c>
      <c r="G51" s="42">
        <f>COUNTIFS('SERVICE ENTRY'!$BH$4:$BH$1200,'Pt Nav-CareCoor-CaseMgt Report'!A51,'SERVICE ENTRY'!$G$4:$G$1200,"Native Hawaiian or Pacific Islander")</f>
        <v>0</v>
      </c>
      <c r="H51" s="100">
        <f>COUNTIFS('SERVICE ENTRY'!$BH$4:$BH$1200,'Pt Nav-CareCoor-CaseMgt Report'!A51,'SERVICE ENTRY'!$G$4:$G$1200,"White")</f>
        <v>0</v>
      </c>
      <c r="I51" s="106">
        <f>COUNTIFS('SERVICE ENTRY'!$BH$4:$BH$1200,'Pt Nav-CareCoor-CaseMgt Report'!A51,'SERVICE ENTRY'!$G$4:$G$1200,"Unknown or Other")</f>
        <v>0</v>
      </c>
      <c r="J51" s="102">
        <f>COUNTIFS('SERVICE ENTRY'!$BH$4:$BH$1200,'Pt Nav-CareCoor-CaseMgt Report'!A51,'SERVICE ENTRY'!$F$4:$F$1200,"Colombian")+COUNTIFS('SERVICE ENTRY'!$BH$4:$BH$1200,'Pt Nav-CareCoor-CaseMgt Report'!A51,'SERVICE ENTRY'!$F$4:$F$1200,"Cuban")+COUNTIFS('SERVICE ENTRY'!$BH$4:$BH$1200,'Pt Nav-CareCoor-CaseMgt Report'!A51,'SERVICE ENTRY'!$F$4:$F$1200,"Dominican")+COUNTIFS('SERVICE ENTRY'!$BH$4:$BH$1200,'Pt Nav-CareCoor-CaseMgt Report'!A51,'SERVICE ENTRY'!$F$4:$F$1200,"Mexican/Mexican-American/Chicano")+COUNTIFS('SERVICE ENTRY'!$BH$4:$BH$1200,'Pt Nav-CareCoor-CaseMgt Report'!A51,'SERVICE ENTRY'!$F$4:$F$1200,"Puerto Rican")+COUNTIFS('SERVICE ENTRY'!$BH$4:$BH$1200,'Pt Nav-CareCoor-CaseMgt Report'!A51,'SERVICE ENTRY'!$F$4:$F$1200,"Salvadoran")+COUNTIFS('SERVICE ENTRY'!$BH$4:$BH$1200,'Pt Nav-CareCoor-CaseMgt Report'!A51,'SERVICE ENTRY'!$F$4:$F$1200,"Other Hispanic/Latino/Spanish origin")</f>
        <v>0</v>
      </c>
      <c r="K51" s="42">
        <f>COUNTIFS('SERVICE ENTRY'!$BH$4:$BH$1200,'Pt Nav-CareCoor-CaseMgt Report'!A51,'SERVICE ENTRY'!$F$4:$F$1200,"Not of Hispanic/Latino/Spanish origin")</f>
        <v>0</v>
      </c>
      <c r="L51" s="42">
        <f>COUNTIFS('SERVICE ENTRY'!$BH$4:$BH$1200,'Pt Nav-CareCoor-CaseMgt Report'!A51,'SERVICE ENTRY'!$F$4:$F$1200,"Unknown or Other")</f>
        <v>0</v>
      </c>
    </row>
    <row r="52" spans="1:14" ht="15" x14ac:dyDescent="0.25">
      <c r="A52" s="68" t="s">
        <v>72</v>
      </c>
      <c r="B52" s="106">
        <f>COUNTIF('SERVICE ENTRY'!$BH$4:$BH$1200,'Pt Nav-CareCoor-CaseMgt Report'!A52)</f>
        <v>0</v>
      </c>
      <c r="C52" s="92">
        <f>COUNTIFS('SERVICE ENTRY'!$BH$4:$BH$1200,'Pt Nav-CareCoor-CaseMgt Report'!A52,'SERVICE ENTRY'!$G$4:$G$1200,"American Indian or Alaska Native")</f>
        <v>0</v>
      </c>
      <c r="D52" s="42">
        <f>COUNTIFS('SERVICE ENTRY'!$BH$4:$BH$1200,'Pt Nav-CareCoor-CaseMgt Report'!A52,'SERVICE ENTRY'!$G$4:$G$1200,"Asian")</f>
        <v>0</v>
      </c>
      <c r="E52" s="42">
        <f>COUNTIFS('SERVICE ENTRY'!$BH$4:$BH$1200,'Pt Nav-CareCoor-CaseMgt Report'!A52,'SERVICE ENTRY'!$G$4:$G$1200,"Black/African-American")</f>
        <v>0</v>
      </c>
      <c r="F52" s="42">
        <f>COUNTIFS('SERVICE ENTRY'!$BH$4:$BH$1200,'Pt Nav-CareCoor-CaseMgt Report'!A52,'SERVICE ENTRY'!$G$4:$G$1200,"Middle Eastern or North African")</f>
        <v>0</v>
      </c>
      <c r="G52" s="42">
        <f>COUNTIFS('SERVICE ENTRY'!$BH$4:$BH$1200,'Pt Nav-CareCoor-CaseMgt Report'!A52,'SERVICE ENTRY'!$G$4:$G$1200,"Native Hawaiian or Pacific Islander")</f>
        <v>0</v>
      </c>
      <c r="H52" s="100">
        <f>COUNTIFS('SERVICE ENTRY'!$BH$4:$BH$1200,'Pt Nav-CareCoor-CaseMgt Report'!A52,'SERVICE ENTRY'!$G$4:$G$1200,"White")</f>
        <v>0</v>
      </c>
      <c r="I52" s="106">
        <f>COUNTIFS('SERVICE ENTRY'!$BH$4:$BH$1200,'Pt Nav-CareCoor-CaseMgt Report'!A52,'SERVICE ENTRY'!$G$4:$G$1200,"Unknown or Other")</f>
        <v>0</v>
      </c>
      <c r="J52" s="102">
        <f>COUNTIFS('SERVICE ENTRY'!$BH$4:$BH$1200,'Pt Nav-CareCoor-CaseMgt Report'!A52,'SERVICE ENTRY'!$F$4:$F$1200,"Colombian")+COUNTIFS('SERVICE ENTRY'!$BH$4:$BH$1200,'Pt Nav-CareCoor-CaseMgt Report'!A52,'SERVICE ENTRY'!$F$4:$F$1200,"Cuban")+COUNTIFS('SERVICE ENTRY'!$BH$4:$BH$1200,'Pt Nav-CareCoor-CaseMgt Report'!A52,'SERVICE ENTRY'!$F$4:$F$1200,"Dominican")+COUNTIFS('SERVICE ENTRY'!$BH$4:$BH$1200,'Pt Nav-CareCoor-CaseMgt Report'!A52,'SERVICE ENTRY'!$F$4:$F$1200,"Mexican/Mexican-American/Chicano")+COUNTIFS('SERVICE ENTRY'!$BH$4:$BH$1200,'Pt Nav-CareCoor-CaseMgt Report'!A52,'SERVICE ENTRY'!$F$4:$F$1200,"Puerto Rican")+COUNTIFS('SERVICE ENTRY'!$BH$4:$BH$1200,'Pt Nav-CareCoor-CaseMgt Report'!A52,'SERVICE ENTRY'!$F$4:$F$1200,"Salvadoran")+COUNTIFS('SERVICE ENTRY'!$BH$4:$BH$1200,'Pt Nav-CareCoor-CaseMgt Report'!A52,'SERVICE ENTRY'!$F$4:$F$1200,"Other Hispanic/Latino/Spanish origin")</f>
        <v>0</v>
      </c>
      <c r="K52" s="42">
        <f>COUNTIFS('SERVICE ENTRY'!$BH$4:$BH$1200,'Pt Nav-CareCoor-CaseMgt Report'!A52,'SERVICE ENTRY'!$F$4:$F$1200,"Not of Hispanic/Latino/Spanish origin")</f>
        <v>0</v>
      </c>
      <c r="L52" s="42">
        <f>COUNTIFS('SERVICE ENTRY'!$BH$4:$BH$1200,'Pt Nav-CareCoor-CaseMgt Report'!A52,'SERVICE ENTRY'!$F$4:$F$1200,"Unknown or Other")</f>
        <v>0</v>
      </c>
    </row>
    <row r="53" spans="1:14" ht="15" x14ac:dyDescent="0.25">
      <c r="A53" s="68" t="s">
        <v>139</v>
      </c>
      <c r="B53" s="106">
        <f>COUNTIF('SERVICE ENTRY'!$BH$4:$BH$1200,'Pt Nav-CareCoor-CaseMgt Report'!A53)</f>
        <v>0</v>
      </c>
      <c r="C53" s="92">
        <f>COUNTIFS('SERVICE ENTRY'!$BH$4:$BH$1200,'Pt Nav-CareCoor-CaseMgt Report'!A53,'SERVICE ENTRY'!$G$4:$G$1200,"American Indian or Alaska Native")</f>
        <v>0</v>
      </c>
      <c r="D53" s="42">
        <f>COUNTIFS('SERVICE ENTRY'!$BH$4:$BH$1200,'Pt Nav-CareCoor-CaseMgt Report'!A53,'SERVICE ENTRY'!$G$4:$G$1200,"Asian")</f>
        <v>0</v>
      </c>
      <c r="E53" s="42">
        <f>COUNTIFS('SERVICE ENTRY'!$BH$4:$BH$1200,'Pt Nav-CareCoor-CaseMgt Report'!A53,'SERVICE ENTRY'!$G$4:$G$1200,"Black/African-American")</f>
        <v>0</v>
      </c>
      <c r="F53" s="42">
        <f>COUNTIFS('SERVICE ENTRY'!$BH$4:$BH$1200,'Pt Nav-CareCoor-CaseMgt Report'!A53,'SERVICE ENTRY'!$G$4:$G$1200,"Middle Eastern or North African")</f>
        <v>0</v>
      </c>
      <c r="G53" s="42">
        <f>COUNTIFS('SERVICE ENTRY'!$BH$4:$BH$1200,'Pt Nav-CareCoor-CaseMgt Report'!A53,'SERVICE ENTRY'!$G$4:$G$1200,"Native Hawaiian or Pacific Islander")</f>
        <v>0</v>
      </c>
      <c r="H53" s="100">
        <f>COUNTIFS('SERVICE ENTRY'!$BH$4:$BH$1200,'Pt Nav-CareCoor-CaseMgt Report'!A53,'SERVICE ENTRY'!$G$4:$G$1200,"White")</f>
        <v>0</v>
      </c>
      <c r="I53" s="106">
        <f>COUNTIFS('SERVICE ENTRY'!$BH$4:$BH$1200,'Pt Nav-CareCoor-CaseMgt Report'!A53,'SERVICE ENTRY'!$G$4:$G$1200,"Unknown or Other")</f>
        <v>0</v>
      </c>
      <c r="J53" s="102">
        <f>COUNTIFS('SERVICE ENTRY'!$BH$4:$BH$1200,'Pt Nav-CareCoor-CaseMgt Report'!A53,'SERVICE ENTRY'!$F$4:$F$1200,"Colombian")+COUNTIFS('SERVICE ENTRY'!$BH$4:$BH$1200,'Pt Nav-CareCoor-CaseMgt Report'!A53,'SERVICE ENTRY'!$F$4:$F$1200,"Cuban")+COUNTIFS('SERVICE ENTRY'!$BH$4:$BH$1200,'Pt Nav-CareCoor-CaseMgt Report'!A53,'SERVICE ENTRY'!$F$4:$F$1200,"Dominican")+COUNTIFS('SERVICE ENTRY'!$BH$4:$BH$1200,'Pt Nav-CareCoor-CaseMgt Report'!A53,'SERVICE ENTRY'!$F$4:$F$1200,"Mexican/Mexican-American/Chicano")+COUNTIFS('SERVICE ENTRY'!$BH$4:$BH$1200,'Pt Nav-CareCoor-CaseMgt Report'!A53,'SERVICE ENTRY'!$F$4:$F$1200,"Puerto Rican")+COUNTIFS('SERVICE ENTRY'!$BH$4:$BH$1200,'Pt Nav-CareCoor-CaseMgt Report'!A53,'SERVICE ENTRY'!$F$4:$F$1200,"Salvadoran")+COUNTIFS('SERVICE ENTRY'!$BH$4:$BH$1200,'Pt Nav-CareCoor-CaseMgt Report'!A53,'SERVICE ENTRY'!$F$4:$F$1200,"Other Hispanic/Latino/Spanish origin")</f>
        <v>0</v>
      </c>
      <c r="K53" s="42">
        <f>COUNTIFS('SERVICE ENTRY'!$BH$4:$BH$1200,'Pt Nav-CareCoor-CaseMgt Report'!A53,'SERVICE ENTRY'!$F$4:$F$1200,"Not of Hispanic/Latino/Spanish origin")</f>
        <v>0</v>
      </c>
      <c r="L53" s="42">
        <f>COUNTIFS('SERVICE ENTRY'!$BH$4:$BH$1200,'Pt Nav-CareCoor-CaseMgt Report'!A53,'SERVICE ENTRY'!$F$4:$F$1200,"Unknown or Other")</f>
        <v>0</v>
      </c>
    </row>
    <row r="54" spans="1:14" ht="15.75" thickBot="1" x14ac:dyDescent="0.3">
      <c r="A54" s="113" t="s">
        <v>122</v>
      </c>
      <c r="B54" s="106">
        <f>COUNTIF('SERVICE ENTRY'!$BH$4:$BH$1200,'Pt Nav-CareCoor-CaseMgt Report'!A54)</f>
        <v>0</v>
      </c>
      <c r="C54" s="115">
        <f>COUNTIFS('SERVICE ENTRY'!$BH$4:$BH$1200,'Pt Nav-CareCoor-CaseMgt Report'!A54,'SERVICE ENTRY'!$G$4:$G$1200,"American Indian or Alaska Native")</f>
        <v>0</v>
      </c>
      <c r="D54" s="99">
        <f>COUNTIFS('SERVICE ENTRY'!$BH$4:$BH$1200,'Pt Nav-CareCoor-CaseMgt Report'!A54,'SERVICE ENTRY'!$G$4:$G$1200,"Asian")</f>
        <v>0</v>
      </c>
      <c r="E54" s="99">
        <f>COUNTIFS('SERVICE ENTRY'!$BH$4:$BH$1200,'Pt Nav-CareCoor-CaseMgt Report'!A54,'SERVICE ENTRY'!$G$4:$G$1200,"Black/African-American")</f>
        <v>0</v>
      </c>
      <c r="F54" s="99">
        <f>COUNTIFS('SERVICE ENTRY'!$BH$4:$BH$1200,'Pt Nav-CareCoor-CaseMgt Report'!A54,'SERVICE ENTRY'!$G$4:$G$1200,"Middle Eastern or North African")</f>
        <v>0</v>
      </c>
      <c r="G54" s="99">
        <f>COUNTIFS('SERVICE ENTRY'!$BH$4:$BH$1200,'Pt Nav-CareCoor-CaseMgt Report'!A54,'SERVICE ENTRY'!$G$4:$G$1200,"Native Hawaiian or Pacific Islander")</f>
        <v>0</v>
      </c>
      <c r="H54" s="118">
        <f>COUNTIFS('SERVICE ENTRY'!$BH$4:$BH$1200,'Pt Nav-CareCoor-CaseMgt Report'!A54,'SERVICE ENTRY'!$G$4:$G$1200,"White")</f>
        <v>0</v>
      </c>
      <c r="I54" s="117">
        <f>COUNTIFS('SERVICE ENTRY'!$BH$4:$BH$1200,'Pt Nav-CareCoor-CaseMgt Report'!A54,'SERVICE ENTRY'!$G$4:$G$1200,"Unknown or Other")</f>
        <v>0</v>
      </c>
      <c r="J54" s="120">
        <f>COUNTIFS('SERVICE ENTRY'!$BH$4:$BH$1200,'Pt Nav-CareCoor-CaseMgt Report'!A54,'SERVICE ENTRY'!$F$4:$F$1200,"Colombian")+COUNTIFS('SERVICE ENTRY'!$BH$4:$BH$1200,'Pt Nav-CareCoor-CaseMgt Report'!A54,'SERVICE ENTRY'!$F$4:$F$1200,"Cuban")+COUNTIFS('SERVICE ENTRY'!$BH$4:$BH$1200,'Pt Nav-CareCoor-CaseMgt Report'!A54,'SERVICE ENTRY'!$F$4:$F$1200,"Dominican")+COUNTIFS('SERVICE ENTRY'!$BH$4:$BH$1200,'Pt Nav-CareCoor-CaseMgt Report'!A54,'SERVICE ENTRY'!$F$4:$F$1200,"Mexican/Mexican-American/Chicano")+COUNTIFS('SERVICE ENTRY'!$BH$4:$BH$1200,'Pt Nav-CareCoor-CaseMgt Report'!A54,'SERVICE ENTRY'!$F$4:$F$1200,"Puerto Rican")+COUNTIFS('SERVICE ENTRY'!$BH$4:$BH$1200,'Pt Nav-CareCoor-CaseMgt Report'!A54,'SERVICE ENTRY'!$F$4:$F$1200,"Salvadoran")+COUNTIFS('SERVICE ENTRY'!$BH$4:$BH$1200,'Pt Nav-CareCoor-CaseMgt Report'!A54,'SERVICE ENTRY'!$F$4:$F$1200,"Other Hispanic/Latino/Spanish origin")</f>
        <v>0</v>
      </c>
      <c r="K54" s="99">
        <f>COUNTIFS('SERVICE ENTRY'!$BH$4:$BH$1200,'Pt Nav-CareCoor-CaseMgt Report'!A54,'SERVICE ENTRY'!$F$4:$F$1200,"Not of Hispanic/Latino/Spanish origin")</f>
        <v>0</v>
      </c>
      <c r="L54" s="99">
        <f>COUNTIFS('SERVICE ENTRY'!$BH$4:$BH$1200,'Pt Nav-CareCoor-CaseMgt Report'!A54,'SERVICE ENTRY'!$F$4:$F$1200,"Unknown or Other")</f>
        <v>0</v>
      </c>
    </row>
    <row r="55" spans="1:14" ht="16.5" customHeight="1" thickBot="1" x14ac:dyDescent="0.3">
      <c r="A55" s="365" t="s">
        <v>269</v>
      </c>
      <c r="B55" s="367">
        <f>SUM(B49:B54)</f>
        <v>0</v>
      </c>
      <c r="C55" s="198">
        <f>SUM(C50:C54)</f>
        <v>0</v>
      </c>
      <c r="D55" s="215">
        <f t="shared" ref="D55:L55" si="2">SUM(D50:D54)</f>
        <v>0</v>
      </c>
      <c r="E55" s="215">
        <f t="shared" si="2"/>
        <v>0</v>
      </c>
      <c r="F55" s="215">
        <f t="shared" si="2"/>
        <v>0</v>
      </c>
      <c r="G55" s="215">
        <f t="shared" si="2"/>
        <v>0</v>
      </c>
      <c r="H55" s="215">
        <f t="shared" si="2"/>
        <v>0</v>
      </c>
      <c r="I55" s="217">
        <f t="shared" si="2"/>
        <v>0</v>
      </c>
      <c r="J55" s="198">
        <f t="shared" si="2"/>
        <v>0</v>
      </c>
      <c r="K55" s="215">
        <f t="shared" si="2"/>
        <v>0</v>
      </c>
      <c r="L55" s="216">
        <f t="shared" si="2"/>
        <v>0</v>
      </c>
    </row>
    <row r="56" spans="1:14" ht="27.75" customHeight="1" thickBot="1" x14ac:dyDescent="0.3">
      <c r="A56" s="366"/>
      <c r="B56" s="368"/>
      <c r="C56" s="372">
        <f>SUM(C55:I55)</f>
        <v>0</v>
      </c>
      <c r="D56" s="373"/>
      <c r="E56" s="373"/>
      <c r="F56" s="373"/>
      <c r="G56" s="373"/>
      <c r="H56" s="373"/>
      <c r="I56" s="373"/>
      <c r="J56" s="372">
        <f>SUM(J55:L55)</f>
        <v>0</v>
      </c>
      <c r="K56" s="373"/>
      <c r="L56" s="374"/>
    </row>
    <row r="57" spans="1:14" ht="14.25" customHeight="1" x14ac:dyDescent="0.2"/>
    <row r="58" spans="1:14" ht="14.25" customHeight="1" x14ac:dyDescent="0.2"/>
    <row r="59" spans="1:14" ht="57.75" customHeight="1" x14ac:dyDescent="0.2">
      <c r="A59" s="25" t="s">
        <v>220</v>
      </c>
      <c r="B59" s="107" t="s">
        <v>308</v>
      </c>
      <c r="C59" s="9" t="s">
        <v>250</v>
      </c>
      <c r="D59" s="9" t="s">
        <v>251</v>
      </c>
      <c r="E59" s="9" t="s">
        <v>246</v>
      </c>
      <c r="F59" s="9" t="s">
        <v>373</v>
      </c>
      <c r="G59" s="9" t="s">
        <v>252</v>
      </c>
      <c r="H59" s="9" t="s">
        <v>248</v>
      </c>
      <c r="I59" s="199" t="s">
        <v>388</v>
      </c>
      <c r="J59" s="101" t="s">
        <v>247</v>
      </c>
      <c r="K59" s="9" t="s">
        <v>324</v>
      </c>
      <c r="L59" s="199" t="s">
        <v>388</v>
      </c>
    </row>
    <row r="60" spans="1:14" ht="17.25" customHeight="1" thickBot="1" x14ac:dyDescent="0.3">
      <c r="A60" s="68" t="s">
        <v>204</v>
      </c>
      <c r="B60" s="106">
        <f>COUNTIF('SERVICE ENTRY'!$BI$4:$BI$1200,'Pt Nav-CareCoor-CaseMgt Report'!A60)</f>
        <v>0</v>
      </c>
      <c r="C60" s="92">
        <f>COUNTIFS('SERVICE ENTRY'!$BI$4:$BI$1200,'Pt Nav-CareCoor-CaseMgt Report'!A60,'SERVICE ENTRY'!$G$4:$G$1200,"American Indian or Alaska Native")</f>
        <v>0</v>
      </c>
      <c r="D60" s="42">
        <f>COUNTIFS('SERVICE ENTRY'!$BI$4:$BI$1200,'Pt Nav-CareCoor-CaseMgt Report'!A60,'SERVICE ENTRY'!$G$4:$G$1200,"Asian")</f>
        <v>0</v>
      </c>
      <c r="E60" s="42">
        <f>COUNTIFS('SERVICE ENTRY'!$BI$4:$BI$1200,'Pt Nav-CareCoor-CaseMgt Report'!A60,'SERVICE ENTRY'!$G$4:$G$1200,"Black/African-American")</f>
        <v>0</v>
      </c>
      <c r="F60" s="42">
        <f>COUNTIFS('SERVICE ENTRY'!$BI$4:$BI$1200,'Pt Nav-CareCoor-CaseMgt Report'!A60,'SERVICE ENTRY'!$G$4:$G$1200,"Middle Eastern or North African")</f>
        <v>0</v>
      </c>
      <c r="G60" s="100">
        <f>COUNTIFS('SERVICE ENTRY'!$BI$4:$BI$1200,'Pt Nav-CareCoor-CaseMgt Report'!A60,'SERVICE ENTRY'!$G$4:$G$1200,"Native Hawaiian or Pacific Islander")</f>
        <v>0</v>
      </c>
      <c r="H60" s="100">
        <f>COUNTIFS('SERVICE ENTRY'!$BI$4:$BI$1200,'Pt Nav-CareCoor-CaseMgt Report'!A60,'SERVICE ENTRY'!$G$4:$G$1200,"White")</f>
        <v>0</v>
      </c>
      <c r="I60" s="106">
        <f>COUNTIFS('SERVICE ENTRY'!$BI$4:$BI$1200,'Pt Nav-CareCoor-CaseMgt Report'!A60,'SERVICE ENTRY'!$G$4:$G$1200,"Unknown or Other")</f>
        <v>0</v>
      </c>
      <c r="J60" s="102">
        <f>COUNTIFS('SERVICE ENTRY'!$BI$4:$BI$1200,'Pt Nav-CareCoor-CaseMgt Report'!A60,'SERVICE ENTRY'!$F$4:$F$1200,"Colombian")+COUNTIFS('SERVICE ENTRY'!$BI$4:$BI$1200,'Pt Nav-CareCoor-CaseMgt Report'!A60,'SERVICE ENTRY'!$F$4:$F$1200,"Cuban")+COUNTIFS('SERVICE ENTRY'!$BI$4:$BI$1200,'Pt Nav-CareCoor-CaseMgt Report'!A60,'SERVICE ENTRY'!$F$4:$F$1200,"Dominican")+COUNTIFS('SERVICE ENTRY'!$BI$4:$BI$1200,'Pt Nav-CareCoor-CaseMgt Report'!A60,'SERVICE ENTRY'!$F$4:$F$1200,"Mexican/Mexican-American/Chicano")+COUNTIFS('SERVICE ENTRY'!$BI$4:$BI$1200,'Pt Nav-CareCoor-CaseMgt Report'!A60,'SERVICE ENTRY'!$F$4:$F$1200,"Puerto Rican")+COUNTIFS('SERVICE ENTRY'!$BI$4:$BI$1200,'Pt Nav-CareCoor-CaseMgt Report'!A60,'SERVICE ENTRY'!$F$4:$F$1200,"Salvadoran")+COUNTIFS('SERVICE ENTRY'!$BI$4:$BI$1200,'Pt Nav-CareCoor-CaseMgt Report'!A60,'SERVICE ENTRY'!$F$4:$F$1200,"Other Hispanic/Latino/Spanish origin")</f>
        <v>0</v>
      </c>
      <c r="K60" s="42">
        <f>COUNTIFS('SERVICE ENTRY'!$BI$4:$BI$1200,'Pt Nav-CareCoor-CaseMgt Report'!A60,'SERVICE ENTRY'!$F$4:$F$1200,"Not of Hispanic/Latino/Spanish origin")</f>
        <v>0</v>
      </c>
      <c r="L60" s="42">
        <f>COUNTIFS('SERVICE ENTRY'!$BI$4:$BI$1200,'Pt Nav-CareCoor-CaseMgt Report'!A60,'SERVICE ENTRY'!$F$4:$F$1200,"Unknown or Other")</f>
        <v>0</v>
      </c>
    </row>
    <row r="61" spans="1:14" ht="15" x14ac:dyDescent="0.25">
      <c r="A61" s="264" t="s">
        <v>205</v>
      </c>
      <c r="B61" s="265">
        <f>COUNTIF('SERVICE ENTRY'!$BI$4:$BI$1200,'Pt Nav-CareCoor-CaseMgt Report'!A61)</f>
        <v>0</v>
      </c>
      <c r="C61" s="266">
        <f>COUNTIFS('SERVICE ENTRY'!$BI$4:$BI$1200,'Pt Nav-CareCoor-CaseMgt Report'!A61,'SERVICE ENTRY'!$G$4:$G$1200,"American Indian or Alaska Native")</f>
        <v>0</v>
      </c>
      <c r="D61" s="267">
        <f>COUNTIFS('SERVICE ENTRY'!$BI$4:$BI$1200,'Pt Nav-CareCoor-CaseMgt Report'!A61,'SERVICE ENTRY'!$G$4:$G$1200,"Asian")</f>
        <v>0</v>
      </c>
      <c r="E61" s="267">
        <f>COUNTIFS('SERVICE ENTRY'!$BI$4:$BI$1200,'Pt Nav-CareCoor-CaseMgt Report'!A61,'SERVICE ENTRY'!$G$4:$G$1200,"Black/African-American")</f>
        <v>0</v>
      </c>
      <c r="F61" s="267">
        <f>COUNTIFS('SERVICE ENTRY'!$BI$4:$BI$1200,'Pt Nav-CareCoor-CaseMgt Report'!A61,'SERVICE ENTRY'!$G$4:$G$1200,"Middle Eastern or North African")</f>
        <v>0</v>
      </c>
      <c r="G61" s="271">
        <f>COUNTIFS('SERVICE ENTRY'!$BI$4:$BI$1200,'Pt Nav-CareCoor-CaseMgt Report'!A61,'SERVICE ENTRY'!$G$4:$G$1200,"Native Hawaiian or Pacific Islander")</f>
        <v>0</v>
      </c>
      <c r="H61" s="271">
        <f>COUNTIFS('SERVICE ENTRY'!$BI$4:$BI$1200,'Pt Nav-CareCoor-CaseMgt Report'!A61,'SERVICE ENTRY'!$G$4:$G$1200,"White")</f>
        <v>0</v>
      </c>
      <c r="I61" s="265">
        <f>COUNTIFS('SERVICE ENTRY'!$BI$4:$BI$1200,'Pt Nav-CareCoor-CaseMgt Report'!A61,'SERVICE ENTRY'!$G$4:$G$1200,"Unknown or Other")</f>
        <v>0</v>
      </c>
      <c r="J61" s="272">
        <f>COUNTIFS('SERVICE ENTRY'!$BI$4:$BI$1200,'Pt Nav-CareCoor-CaseMgt Report'!A61,'SERVICE ENTRY'!$F$4:$F$1200,"Colombian")+COUNTIFS('SERVICE ENTRY'!$BI$4:$BI$1200,'Pt Nav-CareCoor-CaseMgt Report'!A61,'SERVICE ENTRY'!$F$4:$F$1200,"Cuban")+COUNTIFS('SERVICE ENTRY'!$BI$4:$BI$1200,'Pt Nav-CareCoor-CaseMgt Report'!A61,'SERVICE ENTRY'!$F$4:$F$1200,"Dominican")+COUNTIFS('SERVICE ENTRY'!$BI$4:$BI$1200,'Pt Nav-CareCoor-CaseMgt Report'!A61,'SERVICE ENTRY'!$F$4:$F$1200,"Mexican/Mexican-American/Chicano")+COUNTIFS('SERVICE ENTRY'!$BI$4:$BI$1200,'Pt Nav-CareCoor-CaseMgt Report'!A61,'SERVICE ENTRY'!$F$4:$F$1200,"Puerto Rican")+COUNTIFS('SERVICE ENTRY'!$BI$4:$BI$1200,'Pt Nav-CareCoor-CaseMgt Report'!A61,'SERVICE ENTRY'!$F$4:$F$1200,"Salvadoran")+COUNTIFS('SERVICE ENTRY'!$BI$4:$BI$1200,'Pt Nav-CareCoor-CaseMgt Report'!A61,'SERVICE ENTRY'!$F$4:$F$1200,"Other Hispanic/Latino/Spanish origin")</f>
        <v>0</v>
      </c>
      <c r="K61" s="267">
        <f>COUNTIFS('SERVICE ENTRY'!$BI$4:$BI$1200,'Pt Nav-CareCoor-CaseMgt Report'!A61,'SERVICE ENTRY'!$F$4:$F$1200,"Not of Hispanic/Latino/Spanish origin")</f>
        <v>0</v>
      </c>
      <c r="L61" s="271">
        <f>COUNTIFS('SERVICE ENTRY'!$BI$4:$BI$1200,'Pt Nav-CareCoor-CaseMgt Report'!A61,'SERVICE ENTRY'!$F$4:$F$1200,"Unknown or Other")</f>
        <v>0</v>
      </c>
      <c r="M61" s="412" t="s">
        <v>3538</v>
      </c>
      <c r="N61" s="449"/>
    </row>
    <row r="62" spans="1:14" ht="15" x14ac:dyDescent="0.25">
      <c r="A62" s="264" t="s">
        <v>209</v>
      </c>
      <c r="B62" s="265">
        <f>COUNTIF('SERVICE ENTRY'!$BI$4:$BI$1200,'Pt Nav-CareCoor-CaseMgt Report'!A62)</f>
        <v>0</v>
      </c>
      <c r="C62" s="266">
        <f>COUNTIFS('SERVICE ENTRY'!$BI$4:$BI$1200,'Pt Nav-CareCoor-CaseMgt Report'!A62,'SERVICE ENTRY'!$G$4:$G$1200,"American Indian or Alaska Native")</f>
        <v>0</v>
      </c>
      <c r="D62" s="267">
        <f>COUNTIFS('SERVICE ENTRY'!$BI$4:$BI$1200,'Pt Nav-CareCoor-CaseMgt Report'!A62,'SERVICE ENTRY'!$G$4:$G$1200,"Asian")</f>
        <v>0</v>
      </c>
      <c r="E62" s="267">
        <f>COUNTIFS('SERVICE ENTRY'!$BI$4:$BI$1200,'Pt Nav-CareCoor-CaseMgt Report'!A62,'SERVICE ENTRY'!$G$4:$G$1200,"Black/African-American")</f>
        <v>0</v>
      </c>
      <c r="F62" s="267">
        <f>COUNTIFS('SERVICE ENTRY'!$BI$4:$BI$1200,'Pt Nav-CareCoor-CaseMgt Report'!A62,'SERVICE ENTRY'!$G$4:$G$1200,"Middle Eastern or North African")</f>
        <v>0</v>
      </c>
      <c r="G62" s="271">
        <f>COUNTIFS('SERVICE ENTRY'!$BI$4:$BI$1200,'Pt Nav-CareCoor-CaseMgt Report'!A62,'SERVICE ENTRY'!$G$4:$G$1200,"Native Hawaiian or Pacific Islander")</f>
        <v>0</v>
      </c>
      <c r="H62" s="271">
        <f>COUNTIFS('SERVICE ENTRY'!$BI$4:$BI$1200,'Pt Nav-CareCoor-CaseMgt Report'!A62,'SERVICE ENTRY'!$G$4:$G$1200,"White")</f>
        <v>0</v>
      </c>
      <c r="I62" s="265">
        <f>COUNTIFS('SERVICE ENTRY'!$BI$4:$BI$1200,'Pt Nav-CareCoor-CaseMgt Report'!A62,'SERVICE ENTRY'!$G$4:$G$1200,"Unknown or Other")</f>
        <v>0</v>
      </c>
      <c r="J62" s="272">
        <f>COUNTIFS('SERVICE ENTRY'!$BI$4:$BI$1200,'Pt Nav-CareCoor-CaseMgt Report'!A62,'SERVICE ENTRY'!$F$4:$F$1200,"Colombian")+COUNTIFS('SERVICE ENTRY'!$BI$4:$BI$1200,'Pt Nav-CareCoor-CaseMgt Report'!A62,'SERVICE ENTRY'!$F$4:$F$1200,"Cuban")+COUNTIFS('SERVICE ENTRY'!$BI$4:$BI$1200,'Pt Nav-CareCoor-CaseMgt Report'!A62,'SERVICE ENTRY'!$F$4:$F$1200,"Dominican")+COUNTIFS('SERVICE ENTRY'!$BI$4:$BI$1200,'Pt Nav-CareCoor-CaseMgt Report'!A62,'SERVICE ENTRY'!$F$4:$F$1200,"Mexican/Mexican-American/Chicano")+COUNTIFS('SERVICE ENTRY'!$BI$4:$BI$1200,'Pt Nav-CareCoor-CaseMgt Report'!A62,'SERVICE ENTRY'!$F$4:$F$1200,"Puerto Rican")+COUNTIFS('SERVICE ENTRY'!$BI$4:$BI$1200,'Pt Nav-CareCoor-CaseMgt Report'!A62,'SERVICE ENTRY'!$F$4:$F$1200,"Salvadoran")+COUNTIFS('SERVICE ENTRY'!$BI$4:$BI$1200,'Pt Nav-CareCoor-CaseMgt Report'!A62,'SERVICE ENTRY'!$F$4:$F$1200,"Other Hispanic/Latino/Spanish origin")</f>
        <v>0</v>
      </c>
      <c r="K62" s="267">
        <f>COUNTIFS('SERVICE ENTRY'!$BI$4:$BI$1200,'Pt Nav-CareCoor-CaseMgt Report'!A62,'SERVICE ENTRY'!$F$4:$F$1200,"Not of Hispanic/Latino/Spanish origin")</f>
        <v>0</v>
      </c>
      <c r="L62" s="271">
        <f>COUNTIFS('SERVICE ENTRY'!$BI$4:$BI$1200,'Pt Nav-CareCoor-CaseMgt Report'!A62,'SERVICE ENTRY'!$F$4:$F$1200,"Unknown or Other")</f>
        <v>0</v>
      </c>
      <c r="M62" s="450"/>
      <c r="N62" s="451"/>
    </row>
    <row r="63" spans="1:14" ht="15" x14ac:dyDescent="0.25">
      <c r="A63" s="264" t="s">
        <v>208</v>
      </c>
      <c r="B63" s="265">
        <f>COUNTIF('SERVICE ENTRY'!$BI$4:$BI$1200,'Pt Nav-CareCoor-CaseMgt Report'!A63)</f>
        <v>0</v>
      </c>
      <c r="C63" s="266">
        <f>COUNTIFS('SERVICE ENTRY'!$BI$4:$BI$1200,'Pt Nav-CareCoor-CaseMgt Report'!A63,'SERVICE ENTRY'!$G$4:$G$1200,"American Indian or Alaska Native")</f>
        <v>0</v>
      </c>
      <c r="D63" s="267">
        <f>COUNTIFS('SERVICE ENTRY'!$BI$4:$BI$1200,'Pt Nav-CareCoor-CaseMgt Report'!A63,'SERVICE ENTRY'!$G$4:$G$1200,"Asian")</f>
        <v>0</v>
      </c>
      <c r="E63" s="267">
        <f>COUNTIFS('SERVICE ENTRY'!$BI$4:$BI$1200,'Pt Nav-CareCoor-CaseMgt Report'!A63,'SERVICE ENTRY'!$G$4:$G$1200,"Black/African-American")</f>
        <v>0</v>
      </c>
      <c r="F63" s="267">
        <f>COUNTIFS('SERVICE ENTRY'!$BI$4:$BI$1200,'Pt Nav-CareCoor-CaseMgt Report'!A63,'SERVICE ENTRY'!$G$4:$G$1200,"Middle Eastern or North African")</f>
        <v>0</v>
      </c>
      <c r="G63" s="271">
        <f>COUNTIFS('SERVICE ENTRY'!$BI$4:$BI$1200,'Pt Nav-CareCoor-CaseMgt Report'!A63,'SERVICE ENTRY'!$G$4:$G$1200,"Native Hawaiian or Pacific Islander")</f>
        <v>0</v>
      </c>
      <c r="H63" s="271">
        <f>COUNTIFS('SERVICE ENTRY'!$BI$4:$BI$1200,'Pt Nav-CareCoor-CaseMgt Report'!A63,'SERVICE ENTRY'!$G$4:$G$1200,"White")</f>
        <v>0</v>
      </c>
      <c r="I63" s="265">
        <f>COUNTIFS('SERVICE ENTRY'!$BI$4:$BI$1200,'Pt Nav-CareCoor-CaseMgt Report'!A63,'SERVICE ENTRY'!$G$4:$G$1200,"Unknown or Other")</f>
        <v>0</v>
      </c>
      <c r="J63" s="272">
        <f>COUNTIFS('SERVICE ENTRY'!$BI$4:$BI$1200,'Pt Nav-CareCoor-CaseMgt Report'!A63,'SERVICE ENTRY'!$F$4:$F$1200,"Colombian")+COUNTIFS('SERVICE ENTRY'!$BI$4:$BI$1200,'Pt Nav-CareCoor-CaseMgt Report'!A63,'SERVICE ENTRY'!$F$4:$F$1200,"Cuban")+COUNTIFS('SERVICE ENTRY'!$BI$4:$BI$1200,'Pt Nav-CareCoor-CaseMgt Report'!A63,'SERVICE ENTRY'!$F$4:$F$1200,"Dominican")+COUNTIFS('SERVICE ENTRY'!$BI$4:$BI$1200,'Pt Nav-CareCoor-CaseMgt Report'!A63,'SERVICE ENTRY'!$F$4:$F$1200,"Mexican/Mexican-American/Chicano")+COUNTIFS('SERVICE ENTRY'!$BI$4:$BI$1200,'Pt Nav-CareCoor-CaseMgt Report'!A63,'SERVICE ENTRY'!$F$4:$F$1200,"Puerto Rican")+COUNTIFS('SERVICE ENTRY'!$BI$4:$BI$1200,'Pt Nav-CareCoor-CaseMgt Report'!A63,'SERVICE ENTRY'!$F$4:$F$1200,"Salvadoran")+COUNTIFS('SERVICE ENTRY'!$BI$4:$BI$1200,'Pt Nav-CareCoor-CaseMgt Report'!A63,'SERVICE ENTRY'!$F$4:$F$1200,"Other Hispanic/Latino/Spanish origin")</f>
        <v>0</v>
      </c>
      <c r="K63" s="267">
        <f>COUNTIFS('SERVICE ENTRY'!$BI$4:$BI$1200,'Pt Nav-CareCoor-CaseMgt Report'!A63,'SERVICE ENTRY'!$F$4:$F$1200,"Not of Hispanic/Latino/Spanish origin")</f>
        <v>0</v>
      </c>
      <c r="L63" s="271">
        <f>COUNTIFS('SERVICE ENTRY'!$BI$4:$BI$1200,'Pt Nav-CareCoor-CaseMgt Report'!A63,'SERVICE ENTRY'!$F$4:$F$1200,"Unknown or Other")</f>
        <v>0</v>
      </c>
      <c r="M63" s="450"/>
      <c r="N63" s="451"/>
    </row>
    <row r="64" spans="1:14" ht="15.75" thickBot="1" x14ac:dyDescent="0.3">
      <c r="A64" s="264" t="s">
        <v>210</v>
      </c>
      <c r="B64" s="265">
        <f>COUNTIF('SERVICE ENTRY'!$BI$4:$BI$1200,'Pt Nav-CareCoor-CaseMgt Report'!A64)</f>
        <v>0</v>
      </c>
      <c r="C64" s="266">
        <f>COUNTIFS('SERVICE ENTRY'!$BI$4:$BI$1200,'Pt Nav-CareCoor-CaseMgt Report'!A64,'SERVICE ENTRY'!$G$4:$G$1200,"American Indian or Alaska Native")</f>
        <v>0</v>
      </c>
      <c r="D64" s="267">
        <f>COUNTIFS('SERVICE ENTRY'!$BI$4:$BI$1200,'Pt Nav-CareCoor-CaseMgt Report'!A64,'SERVICE ENTRY'!$G$4:$G$1200,"Asian")</f>
        <v>0</v>
      </c>
      <c r="E64" s="267">
        <f>COUNTIFS('SERVICE ENTRY'!$BI$4:$BI$1200,'Pt Nav-CareCoor-CaseMgt Report'!A64,'SERVICE ENTRY'!$G$4:$G$1200,"Black/African-American")</f>
        <v>0</v>
      </c>
      <c r="F64" s="267">
        <f>COUNTIFS('SERVICE ENTRY'!$BI$4:$BI$1200,'Pt Nav-CareCoor-CaseMgt Report'!A64,'SERVICE ENTRY'!$G$4:$G$1200,"Middle Eastern or North African")</f>
        <v>0</v>
      </c>
      <c r="G64" s="271">
        <f>COUNTIFS('SERVICE ENTRY'!$BI$4:$BI$1200,'Pt Nav-CareCoor-CaseMgt Report'!A64,'SERVICE ENTRY'!$G$4:$G$1200,"Native Hawaiian or Pacific Islander")</f>
        <v>0</v>
      </c>
      <c r="H64" s="271">
        <f>COUNTIFS('SERVICE ENTRY'!$BI$4:$BI$1200,'Pt Nav-CareCoor-CaseMgt Report'!A64,'SERVICE ENTRY'!$G$4:$G$1200,"White")</f>
        <v>0</v>
      </c>
      <c r="I64" s="265">
        <f>COUNTIFS('SERVICE ENTRY'!$BI$4:$BI$1200,'Pt Nav-CareCoor-CaseMgt Report'!A64,'SERVICE ENTRY'!$G$4:$G$1200,"Unknown or Other")</f>
        <v>0</v>
      </c>
      <c r="J64" s="272">
        <f>COUNTIFS('SERVICE ENTRY'!$BI$4:$BI$1200,'Pt Nav-CareCoor-CaseMgt Report'!A64,'SERVICE ENTRY'!$F$4:$F$1200,"Colombian")+COUNTIFS('SERVICE ENTRY'!$BI$4:$BI$1200,'Pt Nav-CareCoor-CaseMgt Report'!A64,'SERVICE ENTRY'!$F$4:$F$1200,"Cuban")+COUNTIFS('SERVICE ENTRY'!$BI$4:$BI$1200,'Pt Nav-CareCoor-CaseMgt Report'!A64,'SERVICE ENTRY'!$F$4:$F$1200,"Dominican")+COUNTIFS('SERVICE ENTRY'!$BI$4:$BI$1200,'Pt Nav-CareCoor-CaseMgt Report'!A64,'SERVICE ENTRY'!$F$4:$F$1200,"Mexican/Mexican-American/Chicano")+COUNTIFS('SERVICE ENTRY'!$BI$4:$BI$1200,'Pt Nav-CareCoor-CaseMgt Report'!A64,'SERVICE ENTRY'!$F$4:$F$1200,"Puerto Rican")+COUNTIFS('SERVICE ENTRY'!$BI$4:$BI$1200,'Pt Nav-CareCoor-CaseMgt Report'!A64,'SERVICE ENTRY'!$F$4:$F$1200,"Salvadoran")+COUNTIFS('SERVICE ENTRY'!$BI$4:$BI$1200,'Pt Nav-CareCoor-CaseMgt Report'!A64,'SERVICE ENTRY'!$F$4:$F$1200,"Other Hispanic/Latino/Spanish origin")</f>
        <v>0</v>
      </c>
      <c r="K64" s="267">
        <f>COUNTIFS('SERVICE ENTRY'!$BI$4:$BI$1200,'Pt Nav-CareCoor-CaseMgt Report'!A64,'SERVICE ENTRY'!$F$4:$F$1200,"Not of Hispanic/Latino/Spanish origin")</f>
        <v>0</v>
      </c>
      <c r="L64" s="271">
        <f>COUNTIFS('SERVICE ENTRY'!$BI$4:$BI$1200,'Pt Nav-CareCoor-CaseMgt Report'!A64,'SERVICE ENTRY'!$F$4:$F$1200,"Unknown or Other")</f>
        <v>0</v>
      </c>
      <c r="M64" s="452"/>
      <c r="N64" s="453"/>
    </row>
    <row r="65" spans="1:12" ht="15" x14ac:dyDescent="0.25">
      <c r="A65" s="68" t="s">
        <v>211</v>
      </c>
      <c r="B65" s="106">
        <f>COUNTIF('SERVICE ENTRY'!$BI$4:$BI$1200,'Pt Nav-CareCoor-CaseMgt Report'!A65)</f>
        <v>0</v>
      </c>
      <c r="C65" s="92">
        <f>COUNTIFS('SERVICE ENTRY'!$BI$4:$BI$1200,'Pt Nav-CareCoor-CaseMgt Report'!A65,'SERVICE ENTRY'!$G$4:$G$1200,"American Indian or Alaska Native")</f>
        <v>0</v>
      </c>
      <c r="D65" s="42">
        <f>COUNTIFS('SERVICE ENTRY'!$BI$4:$BI$1200,'Pt Nav-CareCoor-CaseMgt Report'!A65,'SERVICE ENTRY'!$G$4:$G$1200,"Asian")</f>
        <v>0</v>
      </c>
      <c r="E65" s="42">
        <f>COUNTIFS('SERVICE ENTRY'!$BI$4:$BI$1200,'Pt Nav-CareCoor-CaseMgt Report'!A65,'SERVICE ENTRY'!$G$4:$G$1200,"Black/African-American")</f>
        <v>0</v>
      </c>
      <c r="F65" s="42">
        <f>COUNTIFS('SERVICE ENTRY'!$BI$4:$BI$1200,'Pt Nav-CareCoor-CaseMgt Report'!A65,'SERVICE ENTRY'!$G$4:$G$1200,"Middle Eastern or North African")</f>
        <v>0</v>
      </c>
      <c r="G65" s="100">
        <f>COUNTIFS('SERVICE ENTRY'!$BI$4:$BI$1200,'Pt Nav-CareCoor-CaseMgt Report'!A65,'SERVICE ENTRY'!$G$4:$G$1200,"Native Hawaiian or Pacific Islander")</f>
        <v>0</v>
      </c>
      <c r="H65" s="100">
        <f>COUNTIFS('SERVICE ENTRY'!$BI$4:$BI$1200,'Pt Nav-CareCoor-CaseMgt Report'!A65,'SERVICE ENTRY'!$G$4:$G$1200,"White")</f>
        <v>0</v>
      </c>
      <c r="I65" s="106">
        <f>COUNTIFS('SERVICE ENTRY'!$BI$4:$BI$1200,'Pt Nav-CareCoor-CaseMgt Report'!A65,'SERVICE ENTRY'!$G$4:$G$1200,"Unknown or Other")</f>
        <v>0</v>
      </c>
      <c r="J65" s="102">
        <f>COUNTIFS('SERVICE ENTRY'!$BI$4:$BI$1200,'Pt Nav-CareCoor-CaseMgt Report'!A65,'SERVICE ENTRY'!$F$4:$F$1200,"Colombian")+COUNTIFS('SERVICE ENTRY'!$BI$4:$BI$1200,'Pt Nav-CareCoor-CaseMgt Report'!A65,'SERVICE ENTRY'!$F$4:$F$1200,"Cuban")+COUNTIFS('SERVICE ENTRY'!$BI$4:$BI$1200,'Pt Nav-CareCoor-CaseMgt Report'!A65,'SERVICE ENTRY'!$F$4:$F$1200,"Dominican")+COUNTIFS('SERVICE ENTRY'!$BI$4:$BI$1200,'Pt Nav-CareCoor-CaseMgt Report'!A65,'SERVICE ENTRY'!$F$4:$F$1200,"Mexican/Mexican-American/Chicano")+COUNTIFS('SERVICE ENTRY'!$BI$4:$BI$1200,'Pt Nav-CareCoor-CaseMgt Report'!A65,'SERVICE ENTRY'!$F$4:$F$1200,"Puerto Rican")+COUNTIFS('SERVICE ENTRY'!$BI$4:$BI$1200,'Pt Nav-CareCoor-CaseMgt Report'!A65,'SERVICE ENTRY'!$F$4:$F$1200,"Salvadoran")+COUNTIFS('SERVICE ENTRY'!$BI$4:$BI$1200,'Pt Nav-CareCoor-CaseMgt Report'!A65,'SERVICE ENTRY'!$F$4:$F$1200,"Other Hispanic/Latino/Spanish origin")</f>
        <v>0</v>
      </c>
      <c r="K65" s="42">
        <f>COUNTIFS('SERVICE ENTRY'!$BI$4:$BI$1200,'Pt Nav-CareCoor-CaseMgt Report'!A65,'SERVICE ENTRY'!$F$4:$F$1200,"Not of Hispanic/Latino/Spanish origin")</f>
        <v>0</v>
      </c>
      <c r="L65" s="42">
        <f>COUNTIFS('SERVICE ENTRY'!$BI$4:$BI$1200,'Pt Nav-CareCoor-CaseMgt Report'!A65,'SERVICE ENTRY'!$F$4:$F$1200,"Unknown or Other")</f>
        <v>0</v>
      </c>
    </row>
    <row r="66" spans="1:12" ht="15" x14ac:dyDescent="0.25">
      <c r="A66" s="68" t="s">
        <v>212</v>
      </c>
      <c r="B66" s="106">
        <f>COUNTIF('SERVICE ENTRY'!$BI$4:$BI$1200,'Pt Nav-CareCoor-CaseMgt Report'!A66)</f>
        <v>0</v>
      </c>
      <c r="C66" s="92">
        <f>COUNTIFS('SERVICE ENTRY'!$BI$4:$BI$1200,'Pt Nav-CareCoor-CaseMgt Report'!A66,'SERVICE ENTRY'!$G$4:$G$1200,"American Indian or Alaska Native")</f>
        <v>0</v>
      </c>
      <c r="D66" s="42">
        <f>COUNTIFS('SERVICE ENTRY'!$BI$4:$BI$1200,'Pt Nav-CareCoor-CaseMgt Report'!A66,'SERVICE ENTRY'!$G$4:$G$1200,"Asian")</f>
        <v>0</v>
      </c>
      <c r="E66" s="42">
        <f>COUNTIFS('SERVICE ENTRY'!$BI$4:$BI$1200,'Pt Nav-CareCoor-CaseMgt Report'!A66,'SERVICE ENTRY'!$G$4:$G$1200,"Black/African-American")</f>
        <v>0</v>
      </c>
      <c r="F66" s="42">
        <f>COUNTIFS('SERVICE ENTRY'!$BI$4:$BI$1200,'Pt Nav-CareCoor-CaseMgt Report'!A66,'SERVICE ENTRY'!$G$4:$G$1200,"Middle Eastern or North African")</f>
        <v>0</v>
      </c>
      <c r="G66" s="100">
        <f>COUNTIFS('SERVICE ENTRY'!$BI$4:$BI$1200,'Pt Nav-CareCoor-CaseMgt Report'!A66,'SERVICE ENTRY'!$G$4:$G$1200,"Native Hawaiian or Pacific Islander")</f>
        <v>0</v>
      </c>
      <c r="H66" s="100">
        <f>COUNTIFS('SERVICE ENTRY'!$BI$4:$BI$1200,'Pt Nav-CareCoor-CaseMgt Report'!A66,'SERVICE ENTRY'!$G$4:$G$1200,"White")</f>
        <v>0</v>
      </c>
      <c r="I66" s="106">
        <f>COUNTIFS('SERVICE ENTRY'!$BI$4:$BI$1200,'Pt Nav-CareCoor-CaseMgt Report'!A66,'SERVICE ENTRY'!$G$4:$G$1200,"Unknown or Other")</f>
        <v>0</v>
      </c>
      <c r="J66" s="102">
        <f>COUNTIFS('SERVICE ENTRY'!$BI$4:$BI$1200,'Pt Nav-CareCoor-CaseMgt Report'!A66,'SERVICE ENTRY'!$F$4:$F$1200,"Colombian")+COUNTIFS('SERVICE ENTRY'!$BI$4:$BI$1200,'Pt Nav-CareCoor-CaseMgt Report'!A66,'SERVICE ENTRY'!$F$4:$F$1200,"Cuban")+COUNTIFS('SERVICE ENTRY'!$BI$4:$BI$1200,'Pt Nav-CareCoor-CaseMgt Report'!A66,'SERVICE ENTRY'!$F$4:$F$1200,"Dominican")+COUNTIFS('SERVICE ENTRY'!$BI$4:$BI$1200,'Pt Nav-CareCoor-CaseMgt Report'!A66,'SERVICE ENTRY'!$F$4:$F$1200,"Mexican/Mexican-American/Chicano")+COUNTIFS('SERVICE ENTRY'!$BI$4:$BI$1200,'Pt Nav-CareCoor-CaseMgt Report'!A66,'SERVICE ENTRY'!$F$4:$F$1200,"Puerto Rican")+COUNTIFS('SERVICE ENTRY'!$BI$4:$BI$1200,'Pt Nav-CareCoor-CaseMgt Report'!A66,'SERVICE ENTRY'!$F$4:$F$1200,"Salvadoran")+COUNTIFS('SERVICE ENTRY'!$BI$4:$BI$1200,'Pt Nav-CareCoor-CaseMgt Report'!A66,'SERVICE ENTRY'!$F$4:$F$1200,"Other Hispanic/Latino/Spanish origin")</f>
        <v>0</v>
      </c>
      <c r="K66" s="42">
        <f>COUNTIFS('SERVICE ENTRY'!$BI$4:$BI$1200,'Pt Nav-CareCoor-CaseMgt Report'!A66,'SERVICE ENTRY'!$F$4:$F$1200,"Not of Hispanic/Latino/Spanish origin")</f>
        <v>0</v>
      </c>
      <c r="L66" s="42">
        <f>COUNTIFS('SERVICE ENTRY'!$BI$4:$BI$1200,'Pt Nav-CareCoor-CaseMgt Report'!A66,'SERVICE ENTRY'!$F$4:$F$1200,"Unknown or Other")</f>
        <v>0</v>
      </c>
    </row>
    <row r="67" spans="1:12" ht="15.75" thickBot="1" x14ac:dyDescent="0.3">
      <c r="A67" s="68" t="s">
        <v>213</v>
      </c>
      <c r="B67" s="106">
        <f>COUNTIF('SERVICE ENTRY'!$BI$4:$BI$1200,'Pt Nav-CareCoor-CaseMgt Report'!A67)</f>
        <v>0</v>
      </c>
      <c r="C67" s="92">
        <f>COUNTIFS('SERVICE ENTRY'!$BI$4:$BI$1200,'Pt Nav-CareCoor-CaseMgt Report'!A67,'SERVICE ENTRY'!$G$4:$G$1200,"American Indian or Alaska Native")</f>
        <v>0</v>
      </c>
      <c r="D67" s="42">
        <f>COUNTIFS('SERVICE ENTRY'!$BI$4:$BI$1200,'Pt Nav-CareCoor-CaseMgt Report'!A67,'SERVICE ENTRY'!$G$4:$G$1200,"Asian")</f>
        <v>0</v>
      </c>
      <c r="E67" s="42">
        <f>COUNTIFS('SERVICE ENTRY'!$BI$4:$BI$1200,'Pt Nav-CareCoor-CaseMgt Report'!A67,'SERVICE ENTRY'!$G$4:$G$1200,"Black/African-American")</f>
        <v>0</v>
      </c>
      <c r="F67" s="42">
        <f>COUNTIFS('SERVICE ENTRY'!$BI$4:$BI$1200,'Pt Nav-CareCoor-CaseMgt Report'!A67,'SERVICE ENTRY'!$G$4:$G$1200,"Middle Eastern or North African")</f>
        <v>0</v>
      </c>
      <c r="G67" s="100">
        <f>COUNTIFS('SERVICE ENTRY'!$BI$4:$BI$1200,'Pt Nav-CareCoor-CaseMgt Report'!A67,'SERVICE ENTRY'!$G$4:$G$1200,"Native Hawaiian or Pacific Islander")</f>
        <v>0</v>
      </c>
      <c r="H67" s="100">
        <f>COUNTIFS('SERVICE ENTRY'!$BI$4:$BI$1200,'Pt Nav-CareCoor-CaseMgt Report'!A67,'SERVICE ENTRY'!$G$4:$G$1200,"White")</f>
        <v>0</v>
      </c>
      <c r="I67" s="106">
        <f>COUNTIFS('SERVICE ENTRY'!$BI$4:$BI$1200,'Pt Nav-CareCoor-CaseMgt Report'!A67,'SERVICE ENTRY'!$G$4:$G$1200,"Unknown or Other")</f>
        <v>0</v>
      </c>
      <c r="J67" s="102">
        <f>COUNTIFS('SERVICE ENTRY'!$BI$4:$BI$1200,'Pt Nav-CareCoor-CaseMgt Report'!A67,'SERVICE ENTRY'!$F$4:$F$1200,"Colombian")+COUNTIFS('SERVICE ENTRY'!$BI$4:$BI$1200,'Pt Nav-CareCoor-CaseMgt Report'!A67,'SERVICE ENTRY'!$F$4:$F$1200,"Cuban")+COUNTIFS('SERVICE ENTRY'!$BI$4:$BI$1200,'Pt Nav-CareCoor-CaseMgt Report'!A67,'SERVICE ENTRY'!$F$4:$F$1200,"Dominican")+COUNTIFS('SERVICE ENTRY'!$BI$4:$BI$1200,'Pt Nav-CareCoor-CaseMgt Report'!A67,'SERVICE ENTRY'!$F$4:$F$1200,"Mexican/Mexican-American/Chicano")+COUNTIFS('SERVICE ENTRY'!$BI$4:$BI$1200,'Pt Nav-CareCoor-CaseMgt Report'!A67,'SERVICE ENTRY'!$F$4:$F$1200,"Puerto Rican")+COUNTIFS('SERVICE ENTRY'!$BI$4:$BI$1200,'Pt Nav-CareCoor-CaseMgt Report'!A67,'SERVICE ENTRY'!$F$4:$F$1200,"Salvadoran")+COUNTIFS('SERVICE ENTRY'!$BI$4:$BI$1200,'Pt Nav-CareCoor-CaseMgt Report'!A67,'SERVICE ENTRY'!$F$4:$F$1200,"Other Hispanic/Latino/Spanish origin")</f>
        <v>0</v>
      </c>
      <c r="K67" s="42">
        <f>COUNTIFS('SERVICE ENTRY'!$BI$4:$BI$1200,'Pt Nav-CareCoor-CaseMgt Report'!A67,'SERVICE ENTRY'!$F$4:$F$1200,"Not of Hispanic/Latino/Spanish origin")</f>
        <v>0</v>
      </c>
      <c r="L67" s="42">
        <f>COUNTIFS('SERVICE ENTRY'!$BI$4:$BI$1200,'Pt Nav-CareCoor-CaseMgt Report'!A67,'SERVICE ENTRY'!$F$4:$F$1200,"Unknown or Other")</f>
        <v>0</v>
      </c>
    </row>
    <row r="68" spans="1:12" ht="15.75" thickBot="1" x14ac:dyDescent="0.3">
      <c r="C68" s="369">
        <f>SUM(C60:I67)</f>
        <v>0</v>
      </c>
      <c r="D68" s="370"/>
      <c r="E68" s="370"/>
      <c r="F68" s="370"/>
      <c r="G68" s="370"/>
      <c r="H68" s="370"/>
      <c r="I68" s="370"/>
      <c r="J68" s="369">
        <f>SUM(J60:L67)</f>
        <v>0</v>
      </c>
      <c r="K68" s="370"/>
      <c r="L68" s="371"/>
    </row>
    <row r="71" spans="1:12" ht="48" customHeight="1" x14ac:dyDescent="0.2">
      <c r="A71" s="25" t="s">
        <v>334</v>
      </c>
      <c r="B71" s="170" t="s">
        <v>336</v>
      </c>
      <c r="C71" s="101" t="s">
        <v>250</v>
      </c>
      <c r="D71" s="9" t="s">
        <v>251</v>
      </c>
      <c r="E71" s="9" t="s">
        <v>246</v>
      </c>
      <c r="F71" s="9" t="s">
        <v>373</v>
      </c>
      <c r="G71" s="9" t="s">
        <v>252</v>
      </c>
      <c r="H71" s="9" t="s">
        <v>248</v>
      </c>
      <c r="I71" s="199" t="s">
        <v>388</v>
      </c>
      <c r="J71" s="101" t="s">
        <v>247</v>
      </c>
      <c r="K71" s="25" t="s">
        <v>324</v>
      </c>
      <c r="L71" s="199" t="s">
        <v>388</v>
      </c>
    </row>
    <row r="72" spans="1:12" ht="18" customHeight="1" x14ac:dyDescent="0.25">
      <c r="A72" s="68" t="s">
        <v>62</v>
      </c>
      <c r="B72" s="106">
        <f>COUNTIF('SERVICE ENTRY'!$BJ$4:$BJ$1200,'Pt Nav-CareCoor-CaseMgt Report'!A72)</f>
        <v>0</v>
      </c>
      <c r="C72" s="92">
        <f>COUNTIFS('SERVICE ENTRY'!$BJ$4:$BJ$1200,'Pt Nav-CareCoor-CaseMgt Report'!A72,'SERVICE ENTRY'!$G$4:$G$1200,"American Indian or Alaska Native")</f>
        <v>0</v>
      </c>
      <c r="D72" s="42">
        <f>COUNTIFS('SERVICE ENTRY'!$BJ$4:$BJ$1200,'Pt Nav-CareCoor-CaseMgt Report'!A72,'SERVICE ENTRY'!$G$4:$G$1200,"Asian")</f>
        <v>0</v>
      </c>
      <c r="E72" s="42">
        <f>COUNTIFS('SERVICE ENTRY'!$BJ$4:$BJ$1200,'Pt Nav-CareCoor-CaseMgt Report'!A72,'SERVICE ENTRY'!$G$4:$G$1200,"Black/African-American")</f>
        <v>0</v>
      </c>
      <c r="F72" s="42">
        <f>COUNTIFS('SERVICE ENTRY'!$BJ$4:$BJ$1200,'Pt Nav-CareCoor-CaseMgt Report'!A72,'SERVICE ENTRY'!$G$4:$G$1200,"Middle Eastern or North African")</f>
        <v>0</v>
      </c>
      <c r="G72" s="42">
        <f>COUNTIFS('SERVICE ENTRY'!$BJ$4:$BJ$1200,'Pt Nav-CareCoor-CaseMgt Report'!A72,'SERVICE ENTRY'!$G$4:$G$1200,"Native Hawaiian or Pacific Islander")</f>
        <v>0</v>
      </c>
      <c r="H72" s="42">
        <f>COUNTIFS('SERVICE ENTRY'!$BJ$4:$BJ$1200,'Pt Nav-CareCoor-CaseMgt Report'!A72,'SERVICE ENTRY'!$G$4:$G$1200,"White")</f>
        <v>0</v>
      </c>
      <c r="I72" s="92">
        <f>COUNTIFS('SERVICE ENTRY'!$BJ$4:$BJ$1200,'Pt Nav-CareCoor-CaseMgt Report'!A72,'SERVICE ENTRY'!$G$4:$G$1200,"Unknown or Other")</f>
        <v>0</v>
      </c>
      <c r="J72" s="220">
        <f>COUNTIFS('SERVICE ENTRY'!$BJ$4:$BJ$1200,'Pt Nav-CareCoor-CaseMgt Report'!A72,'SERVICE ENTRY'!$F$4:$F$1200,"Colombian")+COUNTIFS('SERVICE ENTRY'!$BJ$4:$BJ$1200,'Pt Nav-CareCoor-CaseMgt Report'!A72,'SERVICE ENTRY'!$F$4:$F$1200,"Cuban")+COUNTIFS('SERVICE ENTRY'!$BJ$4:$BJ$1200,'Pt Nav-CareCoor-CaseMgt Report'!A72,'SERVICE ENTRY'!$F$4:$F$1200,"Dominican")+COUNTIFS('SERVICE ENTRY'!$BJ$4:$BJ$1200,'Pt Nav-CareCoor-CaseMgt Report'!A72,'SERVICE ENTRY'!$F$4:$F$1200,"Mexican/Mexican-American/Chicano")+COUNTIFS('SERVICE ENTRY'!$BJ$4:$BJ$1200,'Pt Nav-CareCoor-CaseMgt Report'!A72,'SERVICE ENTRY'!$F$4:$F$1200,"Puerto Rican")+COUNTIFS('SERVICE ENTRY'!$BJ$4:$BJ$1200,'Pt Nav-CareCoor-CaseMgt Report'!A72,'SERVICE ENTRY'!$F$4:$F$1200,"Salvadoran")+COUNTIFS('SERVICE ENTRY'!$BJ$4:$BJ$1200,'Pt Nav-CareCoor-CaseMgt Report'!A72,'SERVICE ENTRY'!$F$4:$F$1200,"Other Hispanic/Latino/Spanish origin")</f>
        <v>0</v>
      </c>
      <c r="K72" s="94">
        <f>COUNTIFS('SERVICE ENTRY'!$BJ$4:$BJ$1200,'Pt Nav-CareCoor-CaseMgt Report'!A72,'SERVICE ENTRY'!$F$4:$F$1200,"Not of Hispanic/Latino/Spanish origin")</f>
        <v>0</v>
      </c>
      <c r="L72" s="94">
        <f>COUNTIFS('SERVICE ENTRY'!$BJ$4:$BJ$1200,'Pt Nav-CareCoor-CaseMgt Report'!A72,'SERVICE ENTRY'!$F$4:$F$1200,"Unknown or Other")</f>
        <v>0</v>
      </c>
    </row>
    <row r="73" spans="1:12" ht="17.25" customHeight="1" x14ac:dyDescent="0.25">
      <c r="A73" s="68" t="s">
        <v>83</v>
      </c>
      <c r="B73" s="106">
        <f>COUNTIF('SERVICE ENTRY'!$BJ$4:$BJ$1200,'Pt Nav-CareCoor-CaseMgt Report'!A73)</f>
        <v>0</v>
      </c>
      <c r="C73" s="92">
        <f>COUNTIFS('SERVICE ENTRY'!$BJ$4:$BJ$1200,'Pt Nav-CareCoor-CaseMgt Report'!A73,'SERVICE ENTRY'!$G$4:$G$1200,"American Indian or Alaska Native")</f>
        <v>0</v>
      </c>
      <c r="D73" s="42">
        <f>COUNTIFS('SERVICE ENTRY'!$BJ$4:$BJ$1200,'Pt Nav-CareCoor-CaseMgt Report'!A73,'SERVICE ENTRY'!$G$4:$G$1200,"Asian")</f>
        <v>0</v>
      </c>
      <c r="E73" s="42">
        <f>COUNTIFS('SERVICE ENTRY'!$BJ$4:$BJ$1200,'Pt Nav-CareCoor-CaseMgt Report'!A73,'SERVICE ENTRY'!$G$4:$G$1200,"Black/African-American")</f>
        <v>0</v>
      </c>
      <c r="F73" s="42">
        <f>COUNTIFS('SERVICE ENTRY'!$BJ$4:$BJ$1200,'Pt Nav-CareCoor-CaseMgt Report'!A73,'SERVICE ENTRY'!$G$4:$G$1200,"Middle Eastern or North African")</f>
        <v>0</v>
      </c>
      <c r="G73" s="42">
        <f>COUNTIFS('SERVICE ENTRY'!$BJ$4:$BJ$1200,'Pt Nav-CareCoor-CaseMgt Report'!A73,'SERVICE ENTRY'!$G$4:$G$1200,"Native Hawaiian or Pacific Islander")</f>
        <v>0</v>
      </c>
      <c r="H73" s="42">
        <f>COUNTIFS('SERVICE ENTRY'!$BJ$4:$BJ$1200,'Pt Nav-CareCoor-CaseMgt Report'!A73,'SERVICE ENTRY'!$G$4:$G$1200,"White")</f>
        <v>0</v>
      </c>
      <c r="I73" s="92">
        <f>COUNTIFS('SERVICE ENTRY'!$BJ$4:$BJ$1200,'Pt Nav-CareCoor-CaseMgt Report'!A73,'SERVICE ENTRY'!$G$4:$G$1200,"Unknown or Other")</f>
        <v>0</v>
      </c>
      <c r="J73" s="220">
        <f>COUNTIFS('SERVICE ENTRY'!$BJ$4:$BJ$1200,'Pt Nav-CareCoor-CaseMgt Report'!A73,'SERVICE ENTRY'!$F$4:$F$1200,"Colombian")+COUNTIFS('SERVICE ENTRY'!$BJ$4:$BJ$1200,'Pt Nav-CareCoor-CaseMgt Report'!A73,'SERVICE ENTRY'!$F$4:$F$1200,"Cuban")+COUNTIFS('SERVICE ENTRY'!$BJ$4:$BJ$1200,'Pt Nav-CareCoor-CaseMgt Report'!A73,'SERVICE ENTRY'!$F$4:$F$1200,"Dominican")+COUNTIFS('SERVICE ENTRY'!$BJ$4:$BJ$1200,'Pt Nav-CareCoor-CaseMgt Report'!A73,'SERVICE ENTRY'!$F$4:$F$1200,"Mexican/Mexican-American/Chicano")+COUNTIFS('SERVICE ENTRY'!$BJ$4:$BJ$1200,'Pt Nav-CareCoor-CaseMgt Report'!A73,'SERVICE ENTRY'!$F$4:$F$1200,"Puerto Rican")+COUNTIFS('SERVICE ENTRY'!$BJ$4:$BJ$1200,'Pt Nav-CareCoor-CaseMgt Report'!A73,'SERVICE ENTRY'!$F$4:$F$1200,"Salvadoran")+COUNTIFS('SERVICE ENTRY'!$BJ$4:$BJ$1200,'Pt Nav-CareCoor-CaseMgt Report'!A73,'SERVICE ENTRY'!$F$4:$F$1200,"Other Hispanic/Latino/Spanish origin")</f>
        <v>0</v>
      </c>
      <c r="K73" s="94">
        <f>COUNTIFS('SERVICE ENTRY'!$BJ$4:$BJ$1200,'Pt Nav-CareCoor-CaseMgt Report'!A73,'SERVICE ENTRY'!$F$4:$F$1200,"Not of Hispanic/Latino/Spanish origin")</f>
        <v>0</v>
      </c>
      <c r="L73" s="94">
        <f>COUNTIFS('SERVICE ENTRY'!$BJ$4:$BJ$1200,'Pt Nav-CareCoor-CaseMgt Report'!A73,'SERVICE ENTRY'!$F$4:$F$1200,"Unknown or Other")</f>
        <v>0</v>
      </c>
    </row>
    <row r="74" spans="1:12" ht="17.25" customHeight="1" thickBot="1" x14ac:dyDescent="0.3">
      <c r="A74" s="68" t="s">
        <v>122</v>
      </c>
      <c r="B74" s="106">
        <f>COUNTIF('SERVICE ENTRY'!$BJ$4:$BJ$1200,'Pt Nav-CareCoor-CaseMgt Report'!A74)</f>
        <v>0</v>
      </c>
      <c r="C74" s="92">
        <f>COUNTIFS('SERVICE ENTRY'!$BJ$4:$BJ$1200,'Pt Nav-CareCoor-CaseMgt Report'!A74,'SERVICE ENTRY'!$G$4:$G$1200,"American Indian or Alaska Native")</f>
        <v>0</v>
      </c>
      <c r="D74" s="42">
        <f>COUNTIFS('SERVICE ENTRY'!$BJ$4:$BJ$1200,'Pt Nav-CareCoor-CaseMgt Report'!A74,'SERVICE ENTRY'!$G$4:$G$1200,"Asian")</f>
        <v>0</v>
      </c>
      <c r="E74" s="42">
        <f>COUNTIFS('SERVICE ENTRY'!$BJ$4:$BJ$1200,'Pt Nav-CareCoor-CaseMgt Report'!A74,'SERVICE ENTRY'!$G$4:$G$1200,"Black/African-American")</f>
        <v>0</v>
      </c>
      <c r="F74" s="42">
        <f>COUNTIFS('SERVICE ENTRY'!$BJ$4:$BJ$1200,'Pt Nav-CareCoor-CaseMgt Report'!A74,'SERVICE ENTRY'!$G$4:$G$1200,"Middle Eastern or North African")</f>
        <v>0</v>
      </c>
      <c r="G74" s="42">
        <f>COUNTIFS('SERVICE ENTRY'!$BJ$4:$BJ$1200,'Pt Nav-CareCoor-CaseMgt Report'!A74,'SERVICE ENTRY'!$G$4:$G$1200,"Native Hawaiian or Pacific Islander")</f>
        <v>0</v>
      </c>
      <c r="H74" s="42">
        <f>COUNTIFS('SERVICE ENTRY'!$BJ$4:$BJ$1200,'Pt Nav-CareCoor-CaseMgt Report'!A74,'SERVICE ENTRY'!$G$4:$G$1200,"White")</f>
        <v>0</v>
      </c>
      <c r="I74" s="92">
        <f>COUNTIFS('SERVICE ENTRY'!$BJ$4:$BJ$1200,'Pt Nav-CareCoor-CaseMgt Report'!A74,'SERVICE ENTRY'!$G$4:$G$1200,"Unknown or Other")</f>
        <v>0</v>
      </c>
      <c r="J74" s="220">
        <f>COUNTIFS('SERVICE ENTRY'!$BJ$4:$BJ$1200,'Pt Nav-CareCoor-CaseMgt Report'!A74,'SERVICE ENTRY'!$F$4:$F$1200,"Colombian")+COUNTIFS('SERVICE ENTRY'!$BJ$4:$BJ$1200,'Pt Nav-CareCoor-CaseMgt Report'!A74,'SERVICE ENTRY'!$F$4:$F$1200,"Cuban")+COUNTIFS('SERVICE ENTRY'!$BJ$4:$BJ$1200,'Pt Nav-CareCoor-CaseMgt Report'!A74,'SERVICE ENTRY'!$F$4:$F$1200,"Dominican")+COUNTIFS('SERVICE ENTRY'!$BJ$4:$BJ$1200,'Pt Nav-CareCoor-CaseMgt Report'!A74,'SERVICE ENTRY'!$F$4:$F$1200,"Mexican/Mexican-American/Chicano")+COUNTIFS('SERVICE ENTRY'!$BJ$4:$BJ$1200,'Pt Nav-CareCoor-CaseMgt Report'!A74,'SERVICE ENTRY'!$F$4:$F$1200,"Puerto Rican")+COUNTIFS('SERVICE ENTRY'!$BJ$4:$BJ$1200,'Pt Nav-CareCoor-CaseMgt Report'!A74,'SERVICE ENTRY'!$F$4:$F$1200,"Salvadoran")+COUNTIFS('SERVICE ENTRY'!$BJ$4:$BJ$1200,'Pt Nav-CareCoor-CaseMgt Report'!A74,'SERVICE ENTRY'!$F$4:$F$1200,"Other Hispanic/Latino/Spanish origin")</f>
        <v>0</v>
      </c>
      <c r="K74" s="94">
        <f>COUNTIFS('SERVICE ENTRY'!$BJ$4:$BJ$1200,'Pt Nav-CareCoor-CaseMgt Report'!A74,'SERVICE ENTRY'!$F$4:$F$1200,"Not of Hispanic/Latino/Spanish origin")</f>
        <v>0</v>
      </c>
      <c r="L74" s="94">
        <f>COUNTIFS('SERVICE ENTRY'!$BJ$4:$BJ$1200,'Pt Nav-CareCoor-CaseMgt Report'!A74,'SERVICE ENTRY'!$F$4:$F$1200,"Unknown or Other")</f>
        <v>0</v>
      </c>
    </row>
    <row r="75" spans="1:12" ht="18" customHeight="1" thickBot="1" x14ac:dyDescent="0.3">
      <c r="C75" s="369">
        <f>SUM(C72:I74)</f>
        <v>0</v>
      </c>
      <c r="D75" s="370"/>
      <c r="E75" s="370"/>
      <c r="F75" s="370"/>
      <c r="G75" s="370"/>
      <c r="H75" s="370"/>
      <c r="I75" s="370"/>
      <c r="J75" s="369">
        <f>SUM(J72:L74)</f>
        <v>0</v>
      </c>
      <c r="K75" s="370"/>
      <c r="L75" s="371"/>
    </row>
    <row r="78" spans="1:12" ht="60" x14ac:dyDescent="0.2">
      <c r="A78" s="25" t="s">
        <v>95</v>
      </c>
      <c r="B78" s="107" t="s">
        <v>320</v>
      </c>
      <c r="C78" s="9" t="s">
        <v>250</v>
      </c>
      <c r="D78" s="9" t="s">
        <v>251</v>
      </c>
      <c r="E78" s="9" t="s">
        <v>246</v>
      </c>
      <c r="F78" s="9" t="s">
        <v>373</v>
      </c>
      <c r="G78" s="9" t="s">
        <v>252</v>
      </c>
      <c r="H78" s="9" t="s">
        <v>248</v>
      </c>
      <c r="I78" s="199" t="s">
        <v>388</v>
      </c>
      <c r="J78" s="101" t="s">
        <v>247</v>
      </c>
      <c r="K78" s="9" t="s">
        <v>324</v>
      </c>
      <c r="L78" s="199" t="s">
        <v>388</v>
      </c>
    </row>
    <row r="79" spans="1:12" ht="15" x14ac:dyDescent="0.25">
      <c r="A79" s="68" t="s">
        <v>62</v>
      </c>
      <c r="B79" s="106">
        <f>COUNTIF('SERVICE ENTRY'!$BK$4:$BK$1200,'Pt Nav-CareCoor-CaseMgt Report'!A79)</f>
        <v>0</v>
      </c>
      <c r="C79" s="92">
        <f>COUNTIFS('SERVICE ENTRY'!$BK$4:$BK$1200,'Pt Nav-CareCoor-CaseMgt Report'!A79,'SERVICE ENTRY'!$G$4:$G$1200,"American Indian or Alaska Native")</f>
        <v>0</v>
      </c>
      <c r="D79" s="42">
        <f>COUNTIFS('SERVICE ENTRY'!$BK$4:$BK$1200,'Pt Nav-CareCoor-CaseMgt Report'!A79,'SERVICE ENTRY'!$G$4:$G$1200,"Asian")</f>
        <v>0</v>
      </c>
      <c r="E79" s="42">
        <f>COUNTIFS('SERVICE ENTRY'!$BK$4:$BK$1200,'Pt Nav-CareCoor-CaseMgt Report'!A79,'SERVICE ENTRY'!$G$4:$G$1200,"Black/African-American")</f>
        <v>0</v>
      </c>
      <c r="F79" s="42">
        <f>COUNTIFS('SERVICE ENTRY'!$BK$4:$BK$1200,'Pt Nav-CareCoor-CaseMgt Report'!A79,'SERVICE ENTRY'!$G$4:$G$1200,"Middle Eastern or North African")</f>
        <v>0</v>
      </c>
      <c r="G79" s="100">
        <f>COUNTIFS('SERVICE ENTRY'!$BK$4:$BK$1200,'Pt Nav-CareCoor-CaseMgt Report'!A79,'SERVICE ENTRY'!$G$4:$G$1200,"Native Hawaiian or Pacific Islander")</f>
        <v>0</v>
      </c>
      <c r="H79" s="100">
        <f>COUNTIFS('SERVICE ENTRY'!$BK$4:$BK$1200,'Pt Nav-CareCoor-CaseMgt Report'!A79,'SERVICE ENTRY'!$G$4:$G$1200,"White")</f>
        <v>0</v>
      </c>
      <c r="I79" s="106">
        <f>COUNTIFS('SERVICE ENTRY'!$BK$4:$BK$1200,'Pt Nav-CareCoor-CaseMgt Report'!A79,'SERVICE ENTRY'!$G$4:$G$1200,"Unknown or Other")</f>
        <v>0</v>
      </c>
      <c r="J79" s="102">
        <f>COUNTIFS('SERVICE ENTRY'!$BK$4:$BK$1200,'Pt Nav-CareCoor-CaseMgt Report'!A79,'SERVICE ENTRY'!$F$4:$F$1200,"Colombian")+COUNTIFS('SERVICE ENTRY'!$BK$4:$BK$1200,'Pt Nav-CareCoor-CaseMgt Report'!A79,'SERVICE ENTRY'!$F$4:$F$1200,"Cuban")+COUNTIFS('SERVICE ENTRY'!$BK$4:$BK$1200,'Pt Nav-CareCoor-CaseMgt Report'!A79,'SERVICE ENTRY'!$F$4:$F$1200,"Dominican")+COUNTIFS('SERVICE ENTRY'!$BK$4:$BK$1200,'Pt Nav-CareCoor-CaseMgt Report'!A79,'SERVICE ENTRY'!$F$4:$F$1200,"Mexican/Mexican-American/Chicano")+COUNTIFS('SERVICE ENTRY'!$BK$4:$BK$1200,'Pt Nav-CareCoor-CaseMgt Report'!A79,'SERVICE ENTRY'!$F$4:$F$1200,"Puerto Rican")+COUNTIFS('SERVICE ENTRY'!$BK$4:$BK$1200,'Pt Nav-CareCoor-CaseMgt Report'!A79,'SERVICE ENTRY'!$F$4:$F$1200,"Salvadoran")+COUNTIFS('SERVICE ENTRY'!$BK$4:$BK$1200,'Pt Nav-CareCoor-CaseMgt Report'!A79,'SERVICE ENTRY'!$F$4:$F$1200,"Other Hispanic/Latino/Spanish origin")</f>
        <v>0</v>
      </c>
      <c r="K79" s="42">
        <f>COUNTIFS('SERVICE ENTRY'!$BK$4:$BK$1200,'Pt Nav-CareCoor-CaseMgt Report'!A79,'SERVICE ENTRY'!$F$4:$F$1200,"Not of Hispanic/Latino/Spanish origin")</f>
        <v>0</v>
      </c>
      <c r="L79" s="42">
        <f>COUNTIFS('SERVICE ENTRY'!$BK$4:$BK$1200,'Pt Nav-CareCoor-CaseMgt Report'!A79,'SERVICE ENTRY'!$F$4:$F$1200,"Unknown or Other")</f>
        <v>0</v>
      </c>
    </row>
    <row r="80" spans="1:12" ht="15" x14ac:dyDescent="0.25">
      <c r="A80" s="68" t="s">
        <v>83</v>
      </c>
      <c r="B80" s="106">
        <f>COUNTIF('SERVICE ENTRY'!$BK$4:$BK$1200,'Pt Nav-CareCoor-CaseMgt Report'!A80)</f>
        <v>0</v>
      </c>
      <c r="C80" s="92">
        <f>COUNTIFS('SERVICE ENTRY'!$BK$4:$BK$1200,'Pt Nav-CareCoor-CaseMgt Report'!A80,'SERVICE ENTRY'!$G$4:$G$1200,"American Indian or Alaska Native")</f>
        <v>0</v>
      </c>
      <c r="D80" s="42">
        <f>COUNTIFS('SERVICE ENTRY'!$BK$4:$BK$1200,'Pt Nav-CareCoor-CaseMgt Report'!A80,'SERVICE ENTRY'!$G$4:$G$1200,"Asian")</f>
        <v>0</v>
      </c>
      <c r="E80" s="42">
        <f>COUNTIFS('SERVICE ENTRY'!$BK$4:$BK$1200,'Pt Nav-CareCoor-CaseMgt Report'!A80,'SERVICE ENTRY'!$G$4:$G$1200,"Black/African-American")</f>
        <v>0</v>
      </c>
      <c r="F80" s="42">
        <f>COUNTIFS('SERVICE ENTRY'!$BK$4:$BK$1200,'Pt Nav-CareCoor-CaseMgt Report'!A80,'SERVICE ENTRY'!$G$4:$G$1200,"Middle Eastern or North African")</f>
        <v>0</v>
      </c>
      <c r="G80" s="100">
        <f>COUNTIFS('SERVICE ENTRY'!$BK$4:$BK$1200,'Pt Nav-CareCoor-CaseMgt Report'!A80,'SERVICE ENTRY'!$G$4:$G$1200,"Native Hawaiian or Pacific Islander")</f>
        <v>0</v>
      </c>
      <c r="H80" s="100">
        <f>COUNTIFS('SERVICE ENTRY'!$BK$4:$BK$1200,'Pt Nav-CareCoor-CaseMgt Report'!A80,'SERVICE ENTRY'!$G$4:$G$1200,"White")</f>
        <v>0</v>
      </c>
      <c r="I80" s="106">
        <f>COUNTIFS('SERVICE ENTRY'!$BK$4:$BK$1200,'Pt Nav-CareCoor-CaseMgt Report'!A80,'SERVICE ENTRY'!$G$4:$G$1200,"Unknown or Other")</f>
        <v>0</v>
      </c>
      <c r="J80" s="102">
        <f>COUNTIFS('SERVICE ENTRY'!$BK$4:$BK$1200,'Pt Nav-CareCoor-CaseMgt Report'!A80,'SERVICE ENTRY'!$F$4:$F$1200,"Colombian")+COUNTIFS('SERVICE ENTRY'!$BK$4:$BK$1200,'Pt Nav-CareCoor-CaseMgt Report'!A80,'SERVICE ENTRY'!$F$4:$F$1200,"Cuban")+COUNTIFS('SERVICE ENTRY'!$BK$4:$BK$1200,'Pt Nav-CareCoor-CaseMgt Report'!A80,'SERVICE ENTRY'!$F$4:$F$1200,"Dominican")+COUNTIFS('SERVICE ENTRY'!$BK$4:$BK$1200,'Pt Nav-CareCoor-CaseMgt Report'!A80,'SERVICE ENTRY'!$F$4:$F$1200,"Mexican/Mexican-American/Chicano")+COUNTIFS('SERVICE ENTRY'!$BK$4:$BK$1200,'Pt Nav-CareCoor-CaseMgt Report'!A80,'SERVICE ENTRY'!$F$4:$F$1200,"Puerto Rican")+COUNTIFS('SERVICE ENTRY'!$BK$4:$BK$1200,'Pt Nav-CareCoor-CaseMgt Report'!A80,'SERVICE ENTRY'!$F$4:$F$1200,"Salvadoran")+COUNTIFS('SERVICE ENTRY'!$BK$4:$BK$1200,'Pt Nav-CareCoor-CaseMgt Report'!A80,'SERVICE ENTRY'!$F$4:$F$1200,"Other Hispanic/Latino/Spanish origin")</f>
        <v>0</v>
      </c>
      <c r="K80" s="42">
        <f>COUNTIFS('SERVICE ENTRY'!$BK$4:$BK$1200,'Pt Nav-CareCoor-CaseMgt Report'!A80,'SERVICE ENTRY'!$F$4:$F$1200,"Not of Hispanic/Latino/Spanish origin")</f>
        <v>0</v>
      </c>
      <c r="L80" s="42">
        <f>COUNTIFS('SERVICE ENTRY'!$BK$4:$BK$1200,'Pt Nav-CareCoor-CaseMgt Report'!A80,'SERVICE ENTRY'!$F$4:$F$1200,"Unknown or Other")</f>
        <v>0</v>
      </c>
    </row>
    <row r="81" spans="1:12" ht="15.75" thickBot="1" x14ac:dyDescent="0.3">
      <c r="A81" s="68" t="s">
        <v>122</v>
      </c>
      <c r="B81" s="106">
        <f>COUNTIF('SERVICE ENTRY'!$BK$4:$BK$1200,'Pt Nav-CareCoor-CaseMgt Report'!A81)</f>
        <v>0</v>
      </c>
      <c r="C81" s="92">
        <f>COUNTIFS('SERVICE ENTRY'!$BK$4:$BK$1200,'Pt Nav-CareCoor-CaseMgt Report'!A81,'SERVICE ENTRY'!$G$4:$G$1200,"American Indian or Alaska Native")</f>
        <v>0</v>
      </c>
      <c r="D81" s="42">
        <f>COUNTIFS('SERVICE ENTRY'!$BK$4:$BK$1200,'Pt Nav-CareCoor-CaseMgt Report'!A81,'SERVICE ENTRY'!$G$4:$G$1200,"Asian")</f>
        <v>0</v>
      </c>
      <c r="E81" s="42">
        <f>COUNTIFS('SERVICE ENTRY'!$BK$4:$BK$1200,'Pt Nav-CareCoor-CaseMgt Report'!A81,'SERVICE ENTRY'!$G$4:$G$1200,"Black/African-American")</f>
        <v>0</v>
      </c>
      <c r="F81" s="42">
        <f>COUNTIFS('SERVICE ENTRY'!$BK$4:$BK$1200,'Pt Nav-CareCoor-CaseMgt Report'!A81,'SERVICE ENTRY'!$G$4:$G$1200,"Middle Eastern or North African")</f>
        <v>0</v>
      </c>
      <c r="G81" s="100">
        <f>COUNTIFS('SERVICE ENTRY'!$BK$4:$BK$1200,'Pt Nav-CareCoor-CaseMgt Report'!A81,'SERVICE ENTRY'!$G$4:$G$1200,"Native Hawaiian or Pacific Islander")</f>
        <v>0</v>
      </c>
      <c r="H81" s="100">
        <f>COUNTIFS('SERVICE ENTRY'!$BK$4:$BK$1200,'Pt Nav-CareCoor-CaseMgt Report'!A81,'SERVICE ENTRY'!$G$4:$G$1200,"White")</f>
        <v>0</v>
      </c>
      <c r="I81" s="106">
        <f>COUNTIFS('SERVICE ENTRY'!$BK$4:$BK$1200,'Pt Nav-CareCoor-CaseMgt Report'!A81,'SERVICE ENTRY'!$G$4:$G$1200,"Unknown or Other")</f>
        <v>0</v>
      </c>
      <c r="J81" s="102">
        <f>COUNTIFS('SERVICE ENTRY'!$BK$4:$BK$1200,'Pt Nav-CareCoor-CaseMgt Report'!A81,'SERVICE ENTRY'!$F$4:$F$1200,"Colombian")+COUNTIFS('SERVICE ENTRY'!$BK$4:$BK$1200,'Pt Nav-CareCoor-CaseMgt Report'!A81,'SERVICE ENTRY'!$F$4:$F$1200,"Cuban")+COUNTIFS('SERVICE ENTRY'!$BK$4:$BK$1200,'Pt Nav-CareCoor-CaseMgt Report'!A81,'SERVICE ENTRY'!$F$4:$F$1200,"Dominican")+COUNTIFS('SERVICE ENTRY'!$BK$4:$BK$1200,'Pt Nav-CareCoor-CaseMgt Report'!A81,'SERVICE ENTRY'!$F$4:$F$1200,"Mexican/Mexican-American/Chicano")+COUNTIFS('SERVICE ENTRY'!$BK$4:$BK$1200,'Pt Nav-CareCoor-CaseMgt Report'!A81,'SERVICE ENTRY'!$F$4:$F$1200,"Puerto Rican")+COUNTIFS('SERVICE ENTRY'!$BK$4:$BK$1200,'Pt Nav-CareCoor-CaseMgt Report'!A81,'SERVICE ENTRY'!$F$4:$F$1200,"Salvadoran")+COUNTIFS('SERVICE ENTRY'!$BK$4:$BK$1200,'Pt Nav-CareCoor-CaseMgt Report'!A81,'SERVICE ENTRY'!$F$4:$F$1200,"Other Hispanic/Latino/Spanish origin")</f>
        <v>0</v>
      </c>
      <c r="K81" s="42">
        <f>COUNTIFS('SERVICE ENTRY'!$BK$4:$BK$1200,'Pt Nav-CareCoor-CaseMgt Report'!A81,'SERVICE ENTRY'!$F$4:$F$1200,"Not of Hispanic/Latino/Spanish origin")</f>
        <v>0</v>
      </c>
      <c r="L81" s="42">
        <f>COUNTIFS('SERVICE ENTRY'!$BK$4:$BK$1200,'Pt Nav-CareCoor-CaseMgt Report'!A81,'SERVICE ENTRY'!$F$4:$F$1200,"Unknown or Other")</f>
        <v>0</v>
      </c>
    </row>
    <row r="82" spans="1:12" ht="15.75" thickBot="1" x14ac:dyDescent="0.3">
      <c r="C82" s="369">
        <f>SUM(C79:I81)</f>
        <v>0</v>
      </c>
      <c r="D82" s="370"/>
      <c r="E82" s="370"/>
      <c r="F82" s="370"/>
      <c r="G82" s="370"/>
      <c r="H82" s="370"/>
      <c r="I82" s="370"/>
      <c r="J82" s="369">
        <f>SUM(J79:L81)</f>
        <v>0</v>
      </c>
      <c r="K82" s="370"/>
      <c r="L82" s="371"/>
    </row>
    <row r="85" spans="1:12" ht="30" x14ac:dyDescent="0.2">
      <c r="A85" s="25" t="s">
        <v>82</v>
      </c>
      <c r="B85" s="25" t="s">
        <v>317</v>
      </c>
    </row>
    <row r="86" spans="1:12" ht="14.25" customHeight="1" x14ac:dyDescent="0.25">
      <c r="A86" s="68" t="s">
        <v>62</v>
      </c>
      <c r="B86" s="42">
        <f>COUNTIF('SERVICE ENTRY'!$BL$4:$BL$1200,'Pt Nav-CareCoor-CaseMgt Report'!A86)</f>
        <v>0</v>
      </c>
    </row>
    <row r="87" spans="1:12" ht="15" x14ac:dyDescent="0.25">
      <c r="A87" s="68" t="s">
        <v>83</v>
      </c>
      <c r="B87" s="42">
        <f>COUNTIF('SERVICE ENTRY'!$BL$4:$BL$1200,'Pt Nav-CareCoor-CaseMgt Report'!A87)</f>
        <v>0</v>
      </c>
    </row>
    <row r="88" spans="1:12" ht="15" x14ac:dyDescent="0.25">
      <c r="A88" s="68" t="s">
        <v>122</v>
      </c>
      <c r="B88" s="42">
        <f>COUNTIF('SERVICE ENTRY'!$BL$4:$BL$1200,'Pt Nav-CareCoor-CaseMgt Report'!A88)</f>
        <v>0</v>
      </c>
    </row>
    <row r="91" spans="1:12" ht="60" x14ac:dyDescent="0.2">
      <c r="A91" s="25" t="s">
        <v>84</v>
      </c>
      <c r="B91" s="25" t="s">
        <v>318</v>
      </c>
    </row>
    <row r="92" spans="1:12" ht="18.75" customHeight="1" x14ac:dyDescent="0.25">
      <c r="A92" s="68" t="s">
        <v>62</v>
      </c>
      <c r="B92" s="42">
        <f>COUNTIF('SERVICE ENTRY'!$BM$4:$BM$1200,'Pt Nav-CareCoor-CaseMgt Report'!A92)</f>
        <v>0</v>
      </c>
    </row>
    <row r="93" spans="1:12" ht="15" x14ac:dyDescent="0.25">
      <c r="A93" s="68" t="s">
        <v>83</v>
      </c>
      <c r="B93" s="42">
        <f>COUNTIF('SERVICE ENTRY'!$BM$4:$BM$1200,'Pt Nav-CareCoor-CaseMgt Report'!A93)</f>
        <v>0</v>
      </c>
    </row>
    <row r="94" spans="1:12" ht="15" x14ac:dyDescent="0.25">
      <c r="A94" s="68" t="s">
        <v>122</v>
      </c>
      <c r="B94" s="42">
        <f>COUNTIF('SERVICE ENTRY'!$BM$4:$BM$1200,'Pt Nav-CareCoor-CaseMgt Report'!A94)</f>
        <v>0</v>
      </c>
    </row>
    <row r="98" ht="60.75" customHeight="1" x14ac:dyDescent="0.2"/>
  </sheetData>
  <sheetProtection algorithmName="SHA-512" hashValue="o1h40UeXhS0iT76XH54A9dEHj/25oN344b5U8sPkra9sIPXXa2FgW9yLz8Rlb0T9rHCmL1oBIpUM7OMF9Y60oQ==" saltValue="gnK1ojVDxUX0lurpDqrTHA==" spinCount="100000" sheet="1" objects="1" scenarios="1"/>
  <mergeCells count="34">
    <mergeCell ref="M61:N64"/>
    <mergeCell ref="J16:L16"/>
    <mergeCell ref="A35:A36"/>
    <mergeCell ref="B35:B36"/>
    <mergeCell ref="C36:I36"/>
    <mergeCell ref="J36:L36"/>
    <mergeCell ref="A55:A56"/>
    <mergeCell ref="B55:B56"/>
    <mergeCell ref="C56:I56"/>
    <mergeCell ref="J56:L56"/>
    <mergeCell ref="J48:L48"/>
    <mergeCell ref="C48:I48"/>
    <mergeCell ref="A1:K1"/>
    <mergeCell ref="A47:K47"/>
    <mergeCell ref="A27:K27"/>
    <mergeCell ref="A7:K7"/>
    <mergeCell ref="C8:I8"/>
    <mergeCell ref="J8:L8"/>
    <mergeCell ref="C28:I28"/>
    <mergeCell ref="J28:L28"/>
    <mergeCell ref="A15:A16"/>
    <mergeCell ref="B15:B16"/>
    <mergeCell ref="C16:I16"/>
    <mergeCell ref="C24:I24"/>
    <mergeCell ref="J24:L24"/>
    <mergeCell ref="C44:I44"/>
    <mergeCell ref="J44:L44"/>
    <mergeCell ref="A2:D2"/>
    <mergeCell ref="C68:I68"/>
    <mergeCell ref="J68:L68"/>
    <mergeCell ref="C82:I82"/>
    <mergeCell ref="J82:L82"/>
    <mergeCell ref="C75:I75"/>
    <mergeCell ref="J75:L7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255"/>
  <sheetViews>
    <sheetView workbookViewId="0">
      <pane xSplit="1" ySplit="1" topLeftCell="B2" activePane="bottomRight" state="frozen"/>
      <selection pane="topRight" activeCell="B1" sqref="B1"/>
      <selection pane="bottomLeft" activeCell="A2" sqref="A2"/>
      <selection pane="bottomRight" activeCell="AY27" sqref="AY27"/>
    </sheetView>
  </sheetViews>
  <sheetFormatPr defaultRowHeight="15" x14ac:dyDescent="0.25"/>
  <cols>
    <col min="2" max="2" width="20.42578125" customWidth="1"/>
    <col min="3" max="3" width="36.42578125" customWidth="1"/>
    <col min="4" max="4" width="19.7109375" customWidth="1"/>
    <col min="5" max="5" width="20.85546875" bestFit="1" customWidth="1"/>
    <col min="6" max="6" width="21.85546875" bestFit="1" customWidth="1"/>
    <col min="7" max="7" width="24" customWidth="1"/>
    <col min="8" max="8" width="22.5703125" customWidth="1"/>
    <col min="9" max="9" width="21.42578125" customWidth="1"/>
    <col min="10" max="10" width="22.85546875" customWidth="1"/>
    <col min="11" max="11" width="25.42578125" customWidth="1"/>
    <col min="12" max="12" width="18.42578125" customWidth="1"/>
    <col min="13" max="14" width="21.7109375" customWidth="1"/>
    <col min="15" max="15" width="23.42578125" customWidth="1"/>
    <col min="16" max="16" width="21.140625" bestFit="1" customWidth="1"/>
    <col min="17" max="17" width="24.140625" customWidth="1"/>
    <col min="18" max="18" width="22.7109375" customWidth="1"/>
    <col min="19" max="19" width="24.140625" bestFit="1" customWidth="1"/>
    <col min="20" max="20" width="23.5703125" customWidth="1"/>
    <col min="21" max="21" width="26" customWidth="1"/>
    <col min="22" max="22" width="22.7109375" customWidth="1"/>
    <col min="23" max="23" width="25.5703125" customWidth="1"/>
    <col min="24" max="24" width="24.42578125" bestFit="1" customWidth="1"/>
    <col min="25" max="25" width="21.5703125" bestFit="1" customWidth="1"/>
    <col min="26" max="26" width="27.5703125" customWidth="1"/>
    <col min="27" max="27" width="25.7109375" customWidth="1"/>
    <col min="28" max="28" width="22.140625" customWidth="1"/>
    <col min="29" max="29" width="22.42578125" customWidth="1"/>
    <col min="30" max="30" width="23.42578125" customWidth="1"/>
    <col min="31" max="31" width="22.85546875" customWidth="1"/>
    <col min="32" max="32" width="22.140625" customWidth="1"/>
    <col min="33" max="33" width="23.5703125" customWidth="1"/>
    <col min="34" max="34" width="24" customWidth="1"/>
    <col min="35" max="35" width="24.7109375" customWidth="1"/>
    <col min="36" max="36" width="22.28515625" customWidth="1"/>
    <col min="37" max="37" width="20.5703125" bestFit="1" customWidth="1"/>
    <col min="38" max="38" width="21.85546875" customWidth="1"/>
    <col min="39" max="39" width="23.42578125" customWidth="1"/>
    <col min="40" max="40" width="21.5703125" customWidth="1"/>
    <col min="41" max="41" width="22.5703125" customWidth="1"/>
    <col min="42" max="42" width="21.85546875" customWidth="1"/>
    <col min="43" max="43" width="22.5703125" customWidth="1"/>
    <col min="44" max="44" width="20.5703125" bestFit="1" customWidth="1"/>
    <col min="45" max="45" width="23.42578125" customWidth="1"/>
    <col min="46" max="46" width="23.5703125" customWidth="1"/>
    <col min="47" max="47" width="26.42578125" customWidth="1"/>
    <col min="48" max="48" width="24.85546875" customWidth="1"/>
    <col min="49" max="49" width="23.85546875" customWidth="1"/>
    <col min="50" max="50" width="23.140625" customWidth="1"/>
    <col min="51" max="51" width="24" customWidth="1"/>
  </cols>
  <sheetData>
    <row r="1" spans="1:51" x14ac:dyDescent="0.25">
      <c r="A1" s="1" t="s">
        <v>2</v>
      </c>
      <c r="B1" s="1" t="s">
        <v>3</v>
      </c>
      <c r="C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1" t="s">
        <v>24</v>
      </c>
      <c r="X1" s="1" t="s">
        <v>25</v>
      </c>
      <c r="Y1" s="1" t="s">
        <v>26</v>
      </c>
      <c r="Z1" s="1" t="s">
        <v>27</v>
      </c>
      <c r="AA1" s="1" t="s">
        <v>28</v>
      </c>
      <c r="AB1" s="1" t="s">
        <v>29</v>
      </c>
      <c r="AC1" s="1" t="s">
        <v>30</v>
      </c>
      <c r="AD1" s="1" t="s">
        <v>31</v>
      </c>
      <c r="AE1" s="1" t="s">
        <v>32</v>
      </c>
      <c r="AF1" s="1" t="s">
        <v>33</v>
      </c>
      <c r="AG1" s="1" t="s">
        <v>34</v>
      </c>
      <c r="AH1" s="1" t="s">
        <v>35</v>
      </c>
      <c r="AI1" s="1" t="s">
        <v>36</v>
      </c>
      <c r="AJ1" s="1" t="s">
        <v>37</v>
      </c>
      <c r="AK1" s="1" t="s">
        <v>38</v>
      </c>
      <c r="AL1" s="1" t="s">
        <v>39</v>
      </c>
      <c r="AM1" s="1" t="s">
        <v>40</v>
      </c>
      <c r="AN1" s="1" t="s">
        <v>41</v>
      </c>
      <c r="AO1" s="1" t="s">
        <v>42</v>
      </c>
      <c r="AP1" s="1" t="s">
        <v>43</v>
      </c>
      <c r="AQ1" s="1" t="s">
        <v>44</v>
      </c>
      <c r="AR1" s="1" t="s">
        <v>45</v>
      </c>
      <c r="AS1" s="1" t="s">
        <v>46</v>
      </c>
      <c r="AT1" s="1" t="s">
        <v>47</v>
      </c>
      <c r="AU1" s="1" t="s">
        <v>48</v>
      </c>
      <c r="AV1" s="1" t="s">
        <v>49</v>
      </c>
      <c r="AW1" s="1" t="s">
        <v>50</v>
      </c>
      <c r="AX1" s="1" t="s">
        <v>51</v>
      </c>
      <c r="AY1" s="1" t="s">
        <v>52</v>
      </c>
    </row>
    <row r="2" spans="1:51" x14ac:dyDescent="0.25">
      <c r="A2" t="s">
        <v>3</v>
      </c>
      <c r="B2" t="s">
        <v>390</v>
      </c>
      <c r="C2" t="s">
        <v>457</v>
      </c>
      <c r="D2" t="s">
        <v>475</v>
      </c>
      <c r="E2" s="2" t="s">
        <v>490</v>
      </c>
      <c r="F2" t="s">
        <v>565</v>
      </c>
      <c r="G2" t="s">
        <v>623</v>
      </c>
      <c r="H2" t="s">
        <v>687</v>
      </c>
      <c r="I2" t="s">
        <v>695</v>
      </c>
      <c r="J2" t="s">
        <v>698</v>
      </c>
      <c r="K2" t="s">
        <v>765</v>
      </c>
      <c r="L2" t="s">
        <v>924</v>
      </c>
      <c r="M2" t="s">
        <v>929</v>
      </c>
      <c r="N2" t="s">
        <v>973</v>
      </c>
      <c r="O2" t="s">
        <v>1075</v>
      </c>
      <c r="P2" t="s">
        <v>1167</v>
      </c>
      <c r="Q2" t="s">
        <v>1266</v>
      </c>
      <c r="R2" t="s">
        <v>1371</v>
      </c>
      <c r="S2" t="s">
        <v>1491</v>
      </c>
      <c r="T2" t="s">
        <v>1555</v>
      </c>
      <c r="U2" t="s">
        <v>1571</v>
      </c>
      <c r="V2" t="s">
        <v>1595</v>
      </c>
      <c r="W2" t="s">
        <v>1609</v>
      </c>
      <c r="X2" t="s">
        <v>1692</v>
      </c>
      <c r="Y2" t="s">
        <v>1779</v>
      </c>
      <c r="Z2" t="s">
        <v>1861</v>
      </c>
      <c r="AA2" t="s">
        <v>1976</v>
      </c>
      <c r="AB2" t="s">
        <v>2032</v>
      </c>
      <c r="AC2" t="s">
        <v>2125</v>
      </c>
      <c r="AD2" t="s">
        <v>2141</v>
      </c>
      <c r="AE2" t="s">
        <v>2151</v>
      </c>
      <c r="AF2" t="s">
        <v>2172</v>
      </c>
      <c r="AG2" t="s">
        <v>2205</v>
      </c>
      <c r="AH2" t="s">
        <v>2267</v>
      </c>
      <c r="AI2" t="s">
        <v>2367</v>
      </c>
      <c r="AJ2" t="s">
        <v>2420</v>
      </c>
      <c r="AK2" t="s">
        <v>2508</v>
      </c>
      <c r="AL2" t="s">
        <v>2585</v>
      </c>
      <c r="AM2" t="s">
        <v>2621</v>
      </c>
      <c r="AN2" t="s">
        <v>2688</v>
      </c>
      <c r="AO2" t="s">
        <v>2693</v>
      </c>
      <c r="AP2" t="s">
        <v>2739</v>
      </c>
      <c r="AQ2" t="s">
        <v>2805</v>
      </c>
      <c r="AR2" t="s">
        <v>2900</v>
      </c>
      <c r="AS2" t="s">
        <v>3154</v>
      </c>
      <c r="AT2" t="s">
        <v>3183</v>
      </c>
      <c r="AU2" t="s">
        <v>3197</v>
      </c>
      <c r="AV2" t="s">
        <v>3292</v>
      </c>
      <c r="AW2" t="s">
        <v>3331</v>
      </c>
      <c r="AX2" t="s">
        <v>3386</v>
      </c>
      <c r="AY2" t="s">
        <v>3458</v>
      </c>
    </row>
    <row r="3" spans="1:51" x14ac:dyDescent="0.25">
      <c r="A3" t="s">
        <v>4</v>
      </c>
      <c r="B3" t="s">
        <v>391</v>
      </c>
      <c r="C3" t="s">
        <v>458</v>
      </c>
      <c r="D3" t="s">
        <v>476</v>
      </c>
      <c r="E3" s="2" t="s">
        <v>491</v>
      </c>
      <c r="F3" t="s">
        <v>566</v>
      </c>
      <c r="G3" t="s">
        <v>624</v>
      </c>
      <c r="H3" t="s">
        <v>688</v>
      </c>
      <c r="I3" t="s">
        <v>696</v>
      </c>
      <c r="J3" t="s">
        <v>699</v>
      </c>
      <c r="K3" t="s">
        <v>766</v>
      </c>
      <c r="L3" t="s">
        <v>925</v>
      </c>
      <c r="M3" t="s">
        <v>930</v>
      </c>
      <c r="N3" t="s">
        <v>974</v>
      </c>
      <c r="O3" t="s">
        <v>1076</v>
      </c>
      <c r="P3" t="s">
        <v>1168</v>
      </c>
      <c r="Q3" t="s">
        <v>1267</v>
      </c>
      <c r="R3" t="s">
        <v>1372</v>
      </c>
      <c r="S3" t="s">
        <v>1492</v>
      </c>
      <c r="T3" t="s">
        <v>1556</v>
      </c>
      <c r="U3" t="s">
        <v>1572</v>
      </c>
      <c r="V3" t="s">
        <v>1596</v>
      </c>
      <c r="W3" t="s">
        <v>1610</v>
      </c>
      <c r="X3" t="s">
        <v>1693</v>
      </c>
      <c r="Y3" t="s">
        <v>1780</v>
      </c>
      <c r="Z3" t="s">
        <v>1862</v>
      </c>
      <c r="AA3" t="s">
        <v>1977</v>
      </c>
      <c r="AB3" t="s">
        <v>2033</v>
      </c>
      <c r="AC3" t="s">
        <v>2126</v>
      </c>
      <c r="AD3" t="s">
        <v>2142</v>
      </c>
      <c r="AE3" t="s">
        <v>2152</v>
      </c>
      <c r="AF3" t="s">
        <v>2173</v>
      </c>
      <c r="AG3" t="s">
        <v>2206</v>
      </c>
      <c r="AH3" t="s">
        <v>2268</v>
      </c>
      <c r="AI3" t="s">
        <v>2368</v>
      </c>
      <c r="AJ3" t="s">
        <v>2421</v>
      </c>
      <c r="AK3" t="s">
        <v>2509</v>
      </c>
      <c r="AL3" t="s">
        <v>2586</v>
      </c>
      <c r="AM3" t="s">
        <v>2622</v>
      </c>
      <c r="AN3" t="s">
        <v>2689</v>
      </c>
      <c r="AO3" t="s">
        <v>2694</v>
      </c>
      <c r="AP3" t="s">
        <v>2740</v>
      </c>
      <c r="AQ3" t="s">
        <v>2806</v>
      </c>
      <c r="AR3" t="s">
        <v>2901</v>
      </c>
      <c r="AS3" t="s">
        <v>3155</v>
      </c>
      <c r="AT3" t="s">
        <v>3184</v>
      </c>
      <c r="AU3" t="s">
        <v>3198</v>
      </c>
      <c r="AV3" t="s">
        <v>3293</v>
      </c>
      <c r="AW3" t="s">
        <v>3332</v>
      </c>
      <c r="AX3" t="s">
        <v>3387</v>
      </c>
      <c r="AY3" t="s">
        <v>3459</v>
      </c>
    </row>
    <row r="4" spans="1:51" x14ac:dyDescent="0.25">
      <c r="A4" t="s">
        <v>5</v>
      </c>
      <c r="B4" t="s">
        <v>392</v>
      </c>
      <c r="C4" t="s">
        <v>459</v>
      </c>
      <c r="D4" t="s">
        <v>477</v>
      </c>
      <c r="E4" s="2" t="s">
        <v>492</v>
      </c>
      <c r="F4" t="s">
        <v>567</v>
      </c>
      <c r="G4" t="s">
        <v>625</v>
      </c>
      <c r="H4" t="s">
        <v>689</v>
      </c>
      <c r="I4" t="s">
        <v>697</v>
      </c>
      <c r="J4" t="s">
        <v>700</v>
      </c>
      <c r="K4" t="s">
        <v>767</v>
      </c>
      <c r="L4" t="s">
        <v>926</v>
      </c>
      <c r="M4" t="s">
        <v>931</v>
      </c>
      <c r="N4" t="s">
        <v>975</v>
      </c>
      <c r="O4" t="s">
        <v>1077</v>
      </c>
      <c r="P4" t="s">
        <v>1169</v>
      </c>
      <c r="Q4" t="s">
        <v>1268</v>
      </c>
      <c r="R4" t="s">
        <v>1373</v>
      </c>
      <c r="S4" t="s">
        <v>1493</v>
      </c>
      <c r="T4" t="s">
        <v>1557</v>
      </c>
      <c r="U4" t="s">
        <v>1573</v>
      </c>
      <c r="V4" t="s">
        <v>1597</v>
      </c>
      <c r="W4" t="s">
        <v>1611</v>
      </c>
      <c r="X4" t="s">
        <v>1694</v>
      </c>
      <c r="Y4" t="s">
        <v>1781</v>
      </c>
      <c r="Z4" t="s">
        <v>1863</v>
      </c>
      <c r="AA4" t="s">
        <v>1978</v>
      </c>
      <c r="AB4" t="s">
        <v>2034</v>
      </c>
      <c r="AC4" t="s">
        <v>2127</v>
      </c>
      <c r="AD4" t="s">
        <v>2143</v>
      </c>
      <c r="AE4" t="s">
        <v>2153</v>
      </c>
      <c r="AF4" t="s">
        <v>2174</v>
      </c>
      <c r="AG4" t="s">
        <v>2207</v>
      </c>
      <c r="AH4" t="s">
        <v>2269</v>
      </c>
      <c r="AI4" t="s">
        <v>2369</v>
      </c>
      <c r="AJ4" t="s">
        <v>2422</v>
      </c>
      <c r="AK4" t="s">
        <v>2510</v>
      </c>
      <c r="AL4" t="s">
        <v>2587</v>
      </c>
      <c r="AM4" t="s">
        <v>2623</v>
      </c>
      <c r="AN4" t="s">
        <v>2690</v>
      </c>
      <c r="AO4" t="s">
        <v>2695</v>
      </c>
      <c r="AP4" t="s">
        <v>2741</v>
      </c>
      <c r="AQ4" t="s">
        <v>2807</v>
      </c>
      <c r="AR4" t="s">
        <v>2902</v>
      </c>
      <c r="AS4" t="s">
        <v>3156</v>
      </c>
      <c r="AT4" t="s">
        <v>3185</v>
      </c>
      <c r="AU4" t="s">
        <v>3199</v>
      </c>
      <c r="AV4" t="s">
        <v>3294</v>
      </c>
      <c r="AW4" t="s">
        <v>3333</v>
      </c>
      <c r="AX4" t="s">
        <v>3388</v>
      </c>
      <c r="AY4" t="s">
        <v>3460</v>
      </c>
    </row>
    <row r="5" spans="1:51" x14ac:dyDescent="0.25">
      <c r="A5" t="s">
        <v>6</v>
      </c>
      <c r="B5" t="s">
        <v>393</v>
      </c>
      <c r="C5" t="s">
        <v>460</v>
      </c>
      <c r="D5" t="s">
        <v>478</v>
      </c>
      <c r="E5" s="2" t="s">
        <v>493</v>
      </c>
      <c r="F5" t="s">
        <v>568</v>
      </c>
      <c r="G5" t="s">
        <v>626</v>
      </c>
      <c r="H5" t="s">
        <v>690</v>
      </c>
      <c r="J5" t="s">
        <v>701</v>
      </c>
      <c r="K5" t="s">
        <v>768</v>
      </c>
      <c r="L5" t="s">
        <v>927</v>
      </c>
      <c r="M5" t="s">
        <v>932</v>
      </c>
      <c r="N5" t="s">
        <v>976</v>
      </c>
      <c r="O5" t="s">
        <v>1078</v>
      </c>
      <c r="P5" t="s">
        <v>1170</v>
      </c>
      <c r="Q5" t="s">
        <v>1269</v>
      </c>
      <c r="R5" t="s">
        <v>1374</v>
      </c>
      <c r="S5" t="s">
        <v>1494</v>
      </c>
      <c r="T5" t="s">
        <v>1558</v>
      </c>
      <c r="U5" t="s">
        <v>1574</v>
      </c>
      <c r="V5" t="s">
        <v>1598</v>
      </c>
      <c r="W5" t="s">
        <v>1612</v>
      </c>
      <c r="X5" t="s">
        <v>1695</v>
      </c>
      <c r="Y5" t="s">
        <v>1782</v>
      </c>
      <c r="Z5" t="s">
        <v>1864</v>
      </c>
      <c r="AA5" t="s">
        <v>1979</v>
      </c>
      <c r="AB5" t="s">
        <v>2035</v>
      </c>
      <c r="AC5" t="s">
        <v>2128</v>
      </c>
      <c r="AD5" t="s">
        <v>2144</v>
      </c>
      <c r="AE5" t="s">
        <v>2154</v>
      </c>
      <c r="AF5" t="s">
        <v>2175</v>
      </c>
      <c r="AG5" t="s">
        <v>2208</v>
      </c>
      <c r="AH5" t="s">
        <v>2270</v>
      </c>
      <c r="AI5" t="s">
        <v>2370</v>
      </c>
      <c r="AJ5" t="s">
        <v>2423</v>
      </c>
      <c r="AK5" t="s">
        <v>2511</v>
      </c>
      <c r="AL5" t="s">
        <v>2588</v>
      </c>
      <c r="AM5" t="s">
        <v>2624</v>
      </c>
      <c r="AN5" t="s">
        <v>2691</v>
      </c>
      <c r="AO5" t="s">
        <v>2696</v>
      </c>
      <c r="AP5" t="s">
        <v>2742</v>
      </c>
      <c r="AQ5" t="s">
        <v>2808</v>
      </c>
      <c r="AR5" t="s">
        <v>2903</v>
      </c>
      <c r="AS5" t="s">
        <v>3157</v>
      </c>
      <c r="AT5" t="s">
        <v>3186</v>
      </c>
      <c r="AU5" t="s">
        <v>3200</v>
      </c>
      <c r="AV5" t="s">
        <v>3295</v>
      </c>
      <c r="AW5" t="s">
        <v>3334</v>
      </c>
      <c r="AX5" t="s">
        <v>3389</v>
      </c>
      <c r="AY5" t="s">
        <v>3461</v>
      </c>
    </row>
    <row r="6" spans="1:51" x14ac:dyDescent="0.25">
      <c r="A6" t="s">
        <v>7</v>
      </c>
      <c r="B6" t="s">
        <v>394</v>
      </c>
      <c r="C6" t="s">
        <v>461</v>
      </c>
      <c r="D6" t="s">
        <v>479</v>
      </c>
      <c r="E6" s="2" t="s">
        <v>494</v>
      </c>
      <c r="F6" t="s">
        <v>569</v>
      </c>
      <c r="G6" t="s">
        <v>627</v>
      </c>
      <c r="H6" t="s">
        <v>691</v>
      </c>
      <c r="J6" t="s">
        <v>702</v>
      </c>
      <c r="K6" t="s">
        <v>769</v>
      </c>
      <c r="L6" t="s">
        <v>928</v>
      </c>
      <c r="M6" t="s">
        <v>933</v>
      </c>
      <c r="N6" t="s">
        <v>977</v>
      </c>
      <c r="O6" t="s">
        <v>1079</v>
      </c>
      <c r="P6" t="s">
        <v>1171</v>
      </c>
      <c r="Q6" t="s">
        <v>1270</v>
      </c>
      <c r="R6" t="s">
        <v>1375</v>
      </c>
      <c r="S6" t="s">
        <v>1495</v>
      </c>
      <c r="T6" t="s">
        <v>1559</v>
      </c>
      <c r="U6" t="s">
        <v>1575</v>
      </c>
      <c r="V6" t="s">
        <v>1599</v>
      </c>
      <c r="W6" t="s">
        <v>1613</v>
      </c>
      <c r="X6" t="s">
        <v>1696</v>
      </c>
      <c r="Y6" t="s">
        <v>1783</v>
      </c>
      <c r="Z6" t="s">
        <v>1865</v>
      </c>
      <c r="AA6" t="s">
        <v>1980</v>
      </c>
      <c r="AB6" t="s">
        <v>2036</v>
      </c>
      <c r="AC6" t="s">
        <v>2129</v>
      </c>
      <c r="AD6" t="s">
        <v>2145</v>
      </c>
      <c r="AE6" t="s">
        <v>2155</v>
      </c>
      <c r="AF6" t="s">
        <v>2176</v>
      </c>
      <c r="AG6" t="s">
        <v>2209</v>
      </c>
      <c r="AH6" t="s">
        <v>2271</v>
      </c>
      <c r="AI6" t="s">
        <v>2371</v>
      </c>
      <c r="AJ6" t="s">
        <v>2424</v>
      </c>
      <c r="AK6" t="s">
        <v>2512</v>
      </c>
      <c r="AL6" t="s">
        <v>2589</v>
      </c>
      <c r="AM6" t="s">
        <v>2625</v>
      </c>
      <c r="AN6" t="s">
        <v>2692</v>
      </c>
      <c r="AO6" t="s">
        <v>2697</v>
      </c>
      <c r="AP6" t="s">
        <v>2743</v>
      </c>
      <c r="AQ6" t="s">
        <v>2809</v>
      </c>
      <c r="AR6" t="s">
        <v>2904</v>
      </c>
      <c r="AS6" t="s">
        <v>3158</v>
      </c>
      <c r="AT6" t="s">
        <v>3187</v>
      </c>
      <c r="AU6" t="s">
        <v>3201</v>
      </c>
      <c r="AV6" t="s">
        <v>3296</v>
      </c>
      <c r="AW6" t="s">
        <v>3335</v>
      </c>
      <c r="AX6" t="s">
        <v>3390</v>
      </c>
      <c r="AY6" t="s">
        <v>3462</v>
      </c>
    </row>
    <row r="7" spans="1:51" x14ac:dyDescent="0.25">
      <c r="A7" t="s">
        <v>8</v>
      </c>
      <c r="B7" t="s">
        <v>395</v>
      </c>
      <c r="C7" t="s">
        <v>462</v>
      </c>
      <c r="D7" t="s">
        <v>480</v>
      </c>
      <c r="E7" s="2" t="s">
        <v>495</v>
      </c>
      <c r="F7" t="s">
        <v>570</v>
      </c>
      <c r="G7" t="s">
        <v>628</v>
      </c>
      <c r="H7" t="s">
        <v>692</v>
      </c>
      <c r="J7" t="s">
        <v>703</v>
      </c>
      <c r="K7" t="s">
        <v>770</v>
      </c>
      <c r="M7" t="s">
        <v>934</v>
      </c>
      <c r="N7" t="s">
        <v>978</v>
      </c>
      <c r="O7" t="s">
        <v>1080</v>
      </c>
      <c r="P7" t="s">
        <v>1172</v>
      </c>
      <c r="Q7" t="s">
        <v>1271</v>
      </c>
      <c r="R7" t="s">
        <v>1376</v>
      </c>
      <c r="S7" t="s">
        <v>1496</v>
      </c>
      <c r="T7" t="s">
        <v>1560</v>
      </c>
      <c r="U7" t="s">
        <v>1576</v>
      </c>
      <c r="V7" t="s">
        <v>1600</v>
      </c>
      <c r="W7" t="s">
        <v>1614</v>
      </c>
      <c r="X7" t="s">
        <v>1697</v>
      </c>
      <c r="Y7" t="s">
        <v>1784</v>
      </c>
      <c r="Z7" t="s">
        <v>1866</v>
      </c>
      <c r="AA7" t="s">
        <v>1981</v>
      </c>
      <c r="AB7" t="s">
        <v>2037</v>
      </c>
      <c r="AC7" t="s">
        <v>2130</v>
      </c>
      <c r="AD7" t="s">
        <v>2146</v>
      </c>
      <c r="AE7" t="s">
        <v>2156</v>
      </c>
      <c r="AF7" t="s">
        <v>2177</v>
      </c>
      <c r="AG7" t="s">
        <v>2210</v>
      </c>
      <c r="AH7" t="s">
        <v>2272</v>
      </c>
      <c r="AI7" t="s">
        <v>2372</v>
      </c>
      <c r="AJ7" t="s">
        <v>2425</v>
      </c>
      <c r="AK7" t="s">
        <v>2513</v>
      </c>
      <c r="AL7" t="s">
        <v>2590</v>
      </c>
      <c r="AM7" t="s">
        <v>2626</v>
      </c>
      <c r="AO7" t="s">
        <v>2698</v>
      </c>
      <c r="AP7" t="s">
        <v>2744</v>
      </c>
      <c r="AQ7" t="s">
        <v>2810</v>
      </c>
      <c r="AR7" t="s">
        <v>2905</v>
      </c>
      <c r="AS7" t="s">
        <v>3159</v>
      </c>
      <c r="AT7" t="s">
        <v>3188</v>
      </c>
      <c r="AU7" t="s">
        <v>3202</v>
      </c>
      <c r="AV7" t="s">
        <v>3297</v>
      </c>
      <c r="AW7" t="s">
        <v>3336</v>
      </c>
      <c r="AX7" t="s">
        <v>3391</v>
      </c>
      <c r="AY7" t="s">
        <v>3463</v>
      </c>
    </row>
    <row r="8" spans="1:51" x14ac:dyDescent="0.25">
      <c r="A8" t="s">
        <v>9</v>
      </c>
      <c r="B8" t="s">
        <v>396</v>
      </c>
      <c r="C8" t="s">
        <v>463</v>
      </c>
      <c r="D8" t="s">
        <v>481</v>
      </c>
      <c r="E8" s="2" t="s">
        <v>496</v>
      </c>
      <c r="F8" t="s">
        <v>571</v>
      </c>
      <c r="G8" t="s">
        <v>629</v>
      </c>
      <c r="H8" t="s">
        <v>693</v>
      </c>
      <c r="J8" t="s">
        <v>704</v>
      </c>
      <c r="K8" t="s">
        <v>771</v>
      </c>
      <c r="M8" t="s">
        <v>935</v>
      </c>
      <c r="N8" t="s">
        <v>979</v>
      </c>
      <c r="O8" t="s">
        <v>1081</v>
      </c>
      <c r="P8" t="s">
        <v>1173</v>
      </c>
      <c r="Q8" t="s">
        <v>1272</v>
      </c>
      <c r="R8" t="s">
        <v>1377</v>
      </c>
      <c r="S8" t="s">
        <v>1497</v>
      </c>
      <c r="T8" t="s">
        <v>1561</v>
      </c>
      <c r="U8" t="s">
        <v>1577</v>
      </c>
      <c r="V8" t="s">
        <v>1601</v>
      </c>
      <c r="W8" t="s">
        <v>1615</v>
      </c>
      <c r="X8" t="s">
        <v>1698</v>
      </c>
      <c r="Y8" t="s">
        <v>1785</v>
      </c>
      <c r="Z8" t="s">
        <v>1867</v>
      </c>
      <c r="AA8" t="s">
        <v>1982</v>
      </c>
      <c r="AB8" t="s">
        <v>2038</v>
      </c>
      <c r="AC8" t="s">
        <v>2131</v>
      </c>
      <c r="AD8" t="s">
        <v>2147</v>
      </c>
      <c r="AE8" t="s">
        <v>2157</v>
      </c>
      <c r="AF8" t="s">
        <v>2178</v>
      </c>
      <c r="AG8" t="s">
        <v>2211</v>
      </c>
      <c r="AH8" t="s">
        <v>2273</v>
      </c>
      <c r="AI8" t="s">
        <v>2373</v>
      </c>
      <c r="AJ8" t="s">
        <v>2426</v>
      </c>
      <c r="AK8" t="s">
        <v>2514</v>
      </c>
      <c r="AL8" t="s">
        <v>2591</v>
      </c>
      <c r="AM8" t="s">
        <v>2627</v>
      </c>
      <c r="AO8" t="s">
        <v>2699</v>
      </c>
      <c r="AP8" t="s">
        <v>2745</v>
      </c>
      <c r="AQ8" t="s">
        <v>2811</v>
      </c>
      <c r="AR8" t="s">
        <v>2906</v>
      </c>
      <c r="AS8" t="s">
        <v>3160</v>
      </c>
      <c r="AT8" t="s">
        <v>3189</v>
      </c>
      <c r="AU8" t="s">
        <v>3203</v>
      </c>
      <c r="AV8" t="s">
        <v>3298</v>
      </c>
      <c r="AW8" t="s">
        <v>3337</v>
      </c>
      <c r="AX8" t="s">
        <v>3392</v>
      </c>
      <c r="AY8" t="s">
        <v>3464</v>
      </c>
    </row>
    <row r="9" spans="1:51" x14ac:dyDescent="0.25">
      <c r="A9" t="s">
        <v>10</v>
      </c>
      <c r="B9" t="s">
        <v>397</v>
      </c>
      <c r="C9" t="s">
        <v>464</v>
      </c>
      <c r="D9" t="s">
        <v>482</v>
      </c>
      <c r="E9" s="2" t="s">
        <v>497</v>
      </c>
      <c r="F9" t="s">
        <v>572</v>
      </c>
      <c r="G9" t="s">
        <v>630</v>
      </c>
      <c r="H9" t="s">
        <v>694</v>
      </c>
      <c r="J9" t="s">
        <v>705</v>
      </c>
      <c r="K9" t="s">
        <v>772</v>
      </c>
      <c r="M9" t="s">
        <v>936</v>
      </c>
      <c r="N9" t="s">
        <v>980</v>
      </c>
      <c r="O9" t="s">
        <v>1082</v>
      </c>
      <c r="P9" t="s">
        <v>1174</v>
      </c>
      <c r="Q9" t="s">
        <v>1273</v>
      </c>
      <c r="R9" t="s">
        <v>1378</v>
      </c>
      <c r="S9" t="s">
        <v>1498</v>
      </c>
      <c r="T9" t="s">
        <v>1562</v>
      </c>
      <c r="U9" t="s">
        <v>1578</v>
      </c>
      <c r="V9" t="s">
        <v>1602</v>
      </c>
      <c r="W9" t="s">
        <v>1616</v>
      </c>
      <c r="X9" t="s">
        <v>1699</v>
      </c>
      <c r="Y9" t="s">
        <v>1786</v>
      </c>
      <c r="Z9" t="s">
        <v>1868</v>
      </c>
      <c r="AA9" t="s">
        <v>1983</v>
      </c>
      <c r="AB9" t="s">
        <v>2039</v>
      </c>
      <c r="AC9" t="s">
        <v>2132</v>
      </c>
      <c r="AD9" t="s">
        <v>2148</v>
      </c>
      <c r="AE9" t="s">
        <v>2158</v>
      </c>
      <c r="AF9" t="s">
        <v>2179</v>
      </c>
      <c r="AG9" t="s">
        <v>2212</v>
      </c>
      <c r="AH9" t="s">
        <v>2274</v>
      </c>
      <c r="AI9" t="s">
        <v>2374</v>
      </c>
      <c r="AJ9" t="s">
        <v>2427</v>
      </c>
      <c r="AK9" t="s">
        <v>2515</v>
      </c>
      <c r="AL9" t="s">
        <v>2592</v>
      </c>
      <c r="AM9" t="s">
        <v>2628</v>
      </c>
      <c r="AO9" t="s">
        <v>2700</v>
      </c>
      <c r="AP9" t="s">
        <v>2746</v>
      </c>
      <c r="AQ9" t="s">
        <v>2812</v>
      </c>
      <c r="AR9" t="s">
        <v>2907</v>
      </c>
      <c r="AS9" t="s">
        <v>3161</v>
      </c>
      <c r="AT9" t="s">
        <v>3190</v>
      </c>
      <c r="AU9" t="s">
        <v>3204</v>
      </c>
      <c r="AV9" t="s">
        <v>3299</v>
      </c>
      <c r="AW9" t="s">
        <v>3338</v>
      </c>
      <c r="AX9" t="s">
        <v>3393</v>
      </c>
      <c r="AY9" t="s">
        <v>3465</v>
      </c>
    </row>
    <row r="10" spans="1:51" x14ac:dyDescent="0.25">
      <c r="A10" t="s">
        <v>11</v>
      </c>
      <c r="B10" t="s">
        <v>398</v>
      </c>
      <c r="C10" t="s">
        <v>465</v>
      </c>
      <c r="D10" t="s">
        <v>483</v>
      </c>
      <c r="E10" s="2" t="s">
        <v>498</v>
      </c>
      <c r="F10" t="s">
        <v>573</v>
      </c>
      <c r="G10" t="s">
        <v>631</v>
      </c>
      <c r="J10" t="s">
        <v>706</v>
      </c>
      <c r="K10" t="s">
        <v>773</v>
      </c>
      <c r="M10" t="s">
        <v>937</v>
      </c>
      <c r="N10" t="s">
        <v>981</v>
      </c>
      <c r="O10" t="s">
        <v>1083</v>
      </c>
      <c r="P10" t="s">
        <v>1175</v>
      </c>
      <c r="Q10" t="s">
        <v>1274</v>
      </c>
      <c r="R10" t="s">
        <v>1379</v>
      </c>
      <c r="S10" t="s">
        <v>1499</v>
      </c>
      <c r="T10" t="s">
        <v>1563</v>
      </c>
      <c r="U10" t="s">
        <v>1579</v>
      </c>
      <c r="V10" t="s">
        <v>1603</v>
      </c>
      <c r="W10" t="s">
        <v>1617</v>
      </c>
      <c r="X10" t="s">
        <v>1700</v>
      </c>
      <c r="Y10" t="s">
        <v>1787</v>
      </c>
      <c r="Z10" t="s">
        <v>1869</v>
      </c>
      <c r="AA10" t="s">
        <v>1984</v>
      </c>
      <c r="AB10" t="s">
        <v>2040</v>
      </c>
      <c r="AC10" t="s">
        <v>2133</v>
      </c>
      <c r="AD10" t="s">
        <v>2149</v>
      </c>
      <c r="AE10" t="s">
        <v>2159</v>
      </c>
      <c r="AF10" t="s">
        <v>2180</v>
      </c>
      <c r="AG10" t="s">
        <v>2213</v>
      </c>
      <c r="AH10" t="s">
        <v>2275</v>
      </c>
      <c r="AI10" t="s">
        <v>2375</v>
      </c>
      <c r="AJ10" t="s">
        <v>2428</v>
      </c>
      <c r="AK10" t="s">
        <v>2516</v>
      </c>
      <c r="AL10" t="s">
        <v>2593</v>
      </c>
      <c r="AM10" t="s">
        <v>2629</v>
      </c>
      <c r="AO10" t="s">
        <v>2701</v>
      </c>
      <c r="AP10" t="s">
        <v>2747</v>
      </c>
      <c r="AQ10" t="s">
        <v>2813</v>
      </c>
      <c r="AR10" t="s">
        <v>2908</v>
      </c>
      <c r="AS10" t="s">
        <v>3162</v>
      </c>
      <c r="AT10" t="s">
        <v>3191</v>
      </c>
      <c r="AU10" t="s">
        <v>3205</v>
      </c>
      <c r="AV10" t="s">
        <v>3300</v>
      </c>
      <c r="AW10" t="s">
        <v>3339</v>
      </c>
      <c r="AX10" t="s">
        <v>3394</v>
      </c>
      <c r="AY10" t="s">
        <v>3466</v>
      </c>
    </row>
    <row r="11" spans="1:51" x14ac:dyDescent="0.25">
      <c r="A11" t="s">
        <v>12</v>
      </c>
      <c r="B11" t="s">
        <v>399</v>
      </c>
      <c r="C11" t="s">
        <v>466</v>
      </c>
      <c r="D11" t="s">
        <v>484</v>
      </c>
      <c r="E11" s="2" t="s">
        <v>499</v>
      </c>
      <c r="F11" t="s">
        <v>574</v>
      </c>
      <c r="G11" t="s">
        <v>632</v>
      </c>
      <c r="J11" t="s">
        <v>707</v>
      </c>
      <c r="K11" t="s">
        <v>774</v>
      </c>
      <c r="M11" t="s">
        <v>938</v>
      </c>
      <c r="N11" t="s">
        <v>982</v>
      </c>
      <c r="O11" t="s">
        <v>1084</v>
      </c>
      <c r="P11" t="s">
        <v>1176</v>
      </c>
      <c r="Q11" t="s">
        <v>1275</v>
      </c>
      <c r="R11" t="s">
        <v>1380</v>
      </c>
      <c r="S11" t="s">
        <v>1500</v>
      </c>
      <c r="T11" t="s">
        <v>1564</v>
      </c>
      <c r="U11" t="s">
        <v>1580</v>
      </c>
      <c r="V11" t="s">
        <v>1604</v>
      </c>
      <c r="W11" t="s">
        <v>1618</v>
      </c>
      <c r="X11" t="s">
        <v>1701</v>
      </c>
      <c r="Y11" t="s">
        <v>1788</v>
      </c>
      <c r="Z11" t="s">
        <v>1870</v>
      </c>
      <c r="AA11" t="s">
        <v>1985</v>
      </c>
      <c r="AB11" t="s">
        <v>2041</v>
      </c>
      <c r="AC11" t="s">
        <v>2134</v>
      </c>
      <c r="AD11" t="s">
        <v>2150</v>
      </c>
      <c r="AE11" t="s">
        <v>2160</v>
      </c>
      <c r="AF11" t="s">
        <v>2181</v>
      </c>
      <c r="AG11" t="s">
        <v>2214</v>
      </c>
      <c r="AH11" t="s">
        <v>2276</v>
      </c>
      <c r="AI11" t="s">
        <v>2376</v>
      </c>
      <c r="AJ11" t="s">
        <v>2429</v>
      </c>
      <c r="AK11" t="s">
        <v>2517</v>
      </c>
      <c r="AL11" t="s">
        <v>2594</v>
      </c>
      <c r="AM11" t="s">
        <v>2630</v>
      </c>
      <c r="AO11" t="s">
        <v>2702</v>
      </c>
      <c r="AP11" t="s">
        <v>2748</v>
      </c>
      <c r="AQ11" t="s">
        <v>2814</v>
      </c>
      <c r="AR11" t="s">
        <v>2909</v>
      </c>
      <c r="AS11" t="s">
        <v>3163</v>
      </c>
      <c r="AT11" t="s">
        <v>3192</v>
      </c>
      <c r="AU11" t="s">
        <v>3206</v>
      </c>
      <c r="AV11" t="s">
        <v>3301</v>
      </c>
      <c r="AW11" t="s">
        <v>3340</v>
      </c>
      <c r="AX11" t="s">
        <v>3395</v>
      </c>
      <c r="AY11" t="s">
        <v>3467</v>
      </c>
    </row>
    <row r="12" spans="1:51" x14ac:dyDescent="0.25">
      <c r="A12" t="s">
        <v>13</v>
      </c>
      <c r="B12" t="s">
        <v>400</v>
      </c>
      <c r="C12" t="s">
        <v>467</v>
      </c>
      <c r="D12" t="s">
        <v>485</v>
      </c>
      <c r="E12" s="2" t="s">
        <v>500</v>
      </c>
      <c r="F12" t="s">
        <v>575</v>
      </c>
      <c r="G12" t="s">
        <v>633</v>
      </c>
      <c r="J12" t="s">
        <v>708</v>
      </c>
      <c r="K12" t="s">
        <v>775</v>
      </c>
      <c r="M12" t="s">
        <v>939</v>
      </c>
      <c r="N12" t="s">
        <v>983</v>
      </c>
      <c r="O12" t="s">
        <v>1085</v>
      </c>
      <c r="P12" t="s">
        <v>1177</v>
      </c>
      <c r="Q12" t="s">
        <v>1276</v>
      </c>
      <c r="R12" t="s">
        <v>1381</v>
      </c>
      <c r="S12" t="s">
        <v>1501</v>
      </c>
      <c r="T12" t="s">
        <v>1565</v>
      </c>
      <c r="U12" t="s">
        <v>1581</v>
      </c>
      <c r="V12" t="s">
        <v>1605</v>
      </c>
      <c r="W12" t="s">
        <v>1619</v>
      </c>
      <c r="X12" t="s">
        <v>1702</v>
      </c>
      <c r="Y12" t="s">
        <v>1789</v>
      </c>
      <c r="Z12" t="s">
        <v>1871</v>
      </c>
      <c r="AA12" t="s">
        <v>1986</v>
      </c>
      <c r="AB12" t="s">
        <v>2042</v>
      </c>
      <c r="AC12" t="s">
        <v>2135</v>
      </c>
      <c r="AE12" t="s">
        <v>2161</v>
      </c>
      <c r="AF12" t="s">
        <v>2182</v>
      </c>
      <c r="AG12" t="s">
        <v>2215</v>
      </c>
      <c r="AH12" t="s">
        <v>2277</v>
      </c>
      <c r="AI12" t="s">
        <v>2377</v>
      </c>
      <c r="AJ12" t="s">
        <v>2430</v>
      </c>
      <c r="AK12" t="s">
        <v>2518</v>
      </c>
      <c r="AL12" t="s">
        <v>2595</v>
      </c>
      <c r="AM12" t="s">
        <v>2631</v>
      </c>
      <c r="AO12" t="s">
        <v>2703</v>
      </c>
      <c r="AP12" t="s">
        <v>2749</v>
      </c>
      <c r="AQ12" t="s">
        <v>2815</v>
      </c>
      <c r="AR12" t="s">
        <v>2910</v>
      </c>
      <c r="AS12" t="s">
        <v>3164</v>
      </c>
      <c r="AT12" t="s">
        <v>3193</v>
      </c>
      <c r="AU12" t="s">
        <v>3207</v>
      </c>
      <c r="AV12" t="s">
        <v>3302</v>
      </c>
      <c r="AW12" t="s">
        <v>3341</v>
      </c>
      <c r="AX12" t="s">
        <v>3396</v>
      </c>
      <c r="AY12" t="s">
        <v>3468</v>
      </c>
    </row>
    <row r="13" spans="1:51" x14ac:dyDescent="0.25">
      <c r="A13" t="s">
        <v>14</v>
      </c>
      <c r="B13" t="s">
        <v>401</v>
      </c>
      <c r="C13" t="s">
        <v>468</v>
      </c>
      <c r="D13" t="s">
        <v>486</v>
      </c>
      <c r="E13" s="2" t="s">
        <v>501</v>
      </c>
      <c r="F13" t="s">
        <v>576</v>
      </c>
      <c r="G13" t="s">
        <v>634</v>
      </c>
      <c r="J13" t="s">
        <v>709</v>
      </c>
      <c r="K13" t="s">
        <v>776</v>
      </c>
      <c r="M13" t="s">
        <v>940</v>
      </c>
      <c r="N13" t="s">
        <v>984</v>
      </c>
      <c r="O13" t="s">
        <v>1086</v>
      </c>
      <c r="P13" t="s">
        <v>1178</v>
      </c>
      <c r="Q13" t="s">
        <v>1277</v>
      </c>
      <c r="R13" t="s">
        <v>1382</v>
      </c>
      <c r="S13" t="s">
        <v>1502</v>
      </c>
      <c r="T13" t="s">
        <v>1566</v>
      </c>
      <c r="U13" t="s">
        <v>1582</v>
      </c>
      <c r="V13" t="s">
        <v>1606</v>
      </c>
      <c r="W13" t="s">
        <v>1620</v>
      </c>
      <c r="X13" t="s">
        <v>1703</v>
      </c>
      <c r="Y13" t="s">
        <v>1790</v>
      </c>
      <c r="Z13" t="s">
        <v>1872</v>
      </c>
      <c r="AA13" t="s">
        <v>1987</v>
      </c>
      <c r="AB13" t="s">
        <v>2043</v>
      </c>
      <c r="AC13" t="s">
        <v>2136</v>
      </c>
      <c r="AE13" t="s">
        <v>2162</v>
      </c>
      <c r="AF13" t="s">
        <v>2183</v>
      </c>
      <c r="AG13" t="s">
        <v>2216</v>
      </c>
      <c r="AH13" t="s">
        <v>2278</v>
      </c>
      <c r="AI13" t="s">
        <v>2378</v>
      </c>
      <c r="AJ13" t="s">
        <v>2431</v>
      </c>
      <c r="AK13" t="s">
        <v>2519</v>
      </c>
      <c r="AL13" t="s">
        <v>2596</v>
      </c>
      <c r="AM13" t="s">
        <v>2632</v>
      </c>
      <c r="AO13" t="s">
        <v>2704</v>
      </c>
      <c r="AP13" t="s">
        <v>2750</v>
      </c>
      <c r="AQ13" t="s">
        <v>2816</v>
      </c>
      <c r="AR13" t="s">
        <v>2911</v>
      </c>
      <c r="AS13" t="s">
        <v>3165</v>
      </c>
      <c r="AT13" t="s">
        <v>3194</v>
      </c>
      <c r="AU13" t="s">
        <v>3208</v>
      </c>
      <c r="AV13" t="s">
        <v>3303</v>
      </c>
      <c r="AW13" t="s">
        <v>3342</v>
      </c>
      <c r="AX13" t="s">
        <v>3397</v>
      </c>
      <c r="AY13" t="s">
        <v>3469</v>
      </c>
    </row>
    <row r="14" spans="1:51" x14ac:dyDescent="0.25">
      <c r="A14" t="s">
        <v>15</v>
      </c>
      <c r="B14" t="s">
        <v>402</v>
      </c>
      <c r="C14" t="s">
        <v>469</v>
      </c>
      <c r="D14" t="s">
        <v>487</v>
      </c>
      <c r="E14" s="2" t="s">
        <v>502</v>
      </c>
      <c r="F14" t="s">
        <v>577</v>
      </c>
      <c r="G14" t="s">
        <v>635</v>
      </c>
      <c r="J14" t="s">
        <v>710</v>
      </c>
      <c r="K14" t="s">
        <v>777</v>
      </c>
      <c r="M14" t="s">
        <v>941</v>
      </c>
      <c r="N14" t="s">
        <v>985</v>
      </c>
      <c r="O14" t="s">
        <v>1087</v>
      </c>
      <c r="P14" t="s">
        <v>1179</v>
      </c>
      <c r="Q14" t="s">
        <v>1278</v>
      </c>
      <c r="R14" t="s">
        <v>1383</v>
      </c>
      <c r="S14" t="s">
        <v>1503</v>
      </c>
      <c r="T14" t="s">
        <v>1567</v>
      </c>
      <c r="U14" t="s">
        <v>1583</v>
      </c>
      <c r="V14" t="s">
        <v>1607</v>
      </c>
      <c r="W14" t="s">
        <v>1621</v>
      </c>
      <c r="X14" t="s">
        <v>1704</v>
      </c>
      <c r="Y14" t="s">
        <v>1791</v>
      </c>
      <c r="Z14" t="s">
        <v>1873</v>
      </c>
      <c r="AA14" t="s">
        <v>1988</v>
      </c>
      <c r="AB14" t="s">
        <v>2044</v>
      </c>
      <c r="AC14" t="s">
        <v>2137</v>
      </c>
      <c r="AE14" t="s">
        <v>2163</v>
      </c>
      <c r="AF14" t="s">
        <v>2184</v>
      </c>
      <c r="AG14" t="s">
        <v>2217</v>
      </c>
      <c r="AH14" t="s">
        <v>2279</v>
      </c>
      <c r="AI14" t="s">
        <v>2379</v>
      </c>
      <c r="AJ14" t="s">
        <v>2432</v>
      </c>
      <c r="AK14" t="s">
        <v>2520</v>
      </c>
      <c r="AL14" t="s">
        <v>2597</v>
      </c>
      <c r="AM14" t="s">
        <v>2633</v>
      </c>
      <c r="AO14" t="s">
        <v>2705</v>
      </c>
      <c r="AP14" t="s">
        <v>2751</v>
      </c>
      <c r="AQ14" t="s">
        <v>2817</v>
      </c>
      <c r="AR14" t="s">
        <v>2912</v>
      </c>
      <c r="AS14" t="s">
        <v>3166</v>
      </c>
      <c r="AT14" t="s">
        <v>3195</v>
      </c>
      <c r="AU14" t="s">
        <v>3209</v>
      </c>
      <c r="AV14" t="s">
        <v>3304</v>
      </c>
      <c r="AW14" t="s">
        <v>3343</v>
      </c>
      <c r="AX14" t="s">
        <v>3398</v>
      </c>
      <c r="AY14" t="s">
        <v>3470</v>
      </c>
    </row>
    <row r="15" spans="1:51" x14ac:dyDescent="0.25">
      <c r="A15" t="s">
        <v>16</v>
      </c>
      <c r="B15" t="s">
        <v>403</v>
      </c>
      <c r="C15" t="s">
        <v>470</v>
      </c>
      <c r="D15" t="s">
        <v>488</v>
      </c>
      <c r="E15" s="2" t="s">
        <v>503</v>
      </c>
      <c r="F15" t="s">
        <v>578</v>
      </c>
      <c r="G15" t="s">
        <v>636</v>
      </c>
      <c r="J15" t="s">
        <v>711</v>
      </c>
      <c r="K15" t="s">
        <v>778</v>
      </c>
      <c r="M15" t="s">
        <v>942</v>
      </c>
      <c r="N15" t="s">
        <v>986</v>
      </c>
      <c r="O15" t="s">
        <v>1088</v>
      </c>
      <c r="P15" t="s">
        <v>1180</v>
      </c>
      <c r="Q15" t="s">
        <v>1279</v>
      </c>
      <c r="R15" t="s">
        <v>1384</v>
      </c>
      <c r="S15" t="s">
        <v>1504</v>
      </c>
      <c r="T15" t="s">
        <v>1568</v>
      </c>
      <c r="U15" t="s">
        <v>1584</v>
      </c>
      <c r="V15" t="s">
        <v>1608</v>
      </c>
      <c r="W15" t="s">
        <v>1622</v>
      </c>
      <c r="X15" t="s">
        <v>1705</v>
      </c>
      <c r="Y15" t="s">
        <v>1792</v>
      </c>
      <c r="Z15" t="s">
        <v>1874</v>
      </c>
      <c r="AA15" t="s">
        <v>1989</v>
      </c>
      <c r="AB15" t="s">
        <v>2045</v>
      </c>
      <c r="AC15" t="s">
        <v>2138</v>
      </c>
      <c r="AE15" t="s">
        <v>2164</v>
      </c>
      <c r="AF15" t="s">
        <v>2185</v>
      </c>
      <c r="AG15" t="s">
        <v>2218</v>
      </c>
      <c r="AH15" t="s">
        <v>2280</v>
      </c>
      <c r="AI15" t="s">
        <v>2380</v>
      </c>
      <c r="AJ15" t="s">
        <v>2433</v>
      </c>
      <c r="AK15" t="s">
        <v>2521</v>
      </c>
      <c r="AL15" t="s">
        <v>2598</v>
      </c>
      <c r="AM15" t="s">
        <v>2634</v>
      </c>
      <c r="AO15" t="s">
        <v>2706</v>
      </c>
      <c r="AP15" t="s">
        <v>2752</v>
      </c>
      <c r="AQ15" t="s">
        <v>2818</v>
      </c>
      <c r="AR15" t="s">
        <v>2913</v>
      </c>
      <c r="AS15" t="s">
        <v>3167</v>
      </c>
      <c r="AT15" t="s">
        <v>3196</v>
      </c>
      <c r="AU15" t="s">
        <v>3210</v>
      </c>
      <c r="AV15" t="s">
        <v>3305</v>
      </c>
      <c r="AW15" t="s">
        <v>3344</v>
      </c>
      <c r="AX15" t="s">
        <v>3399</v>
      </c>
      <c r="AY15" t="s">
        <v>3471</v>
      </c>
    </row>
    <row r="16" spans="1:51" x14ac:dyDescent="0.25">
      <c r="A16" t="s">
        <v>17</v>
      </c>
      <c r="B16" t="s">
        <v>404</v>
      </c>
      <c r="C16" t="s">
        <v>471</v>
      </c>
      <c r="D16" t="s">
        <v>489</v>
      </c>
      <c r="E16" s="2" t="s">
        <v>504</v>
      </c>
      <c r="F16" t="s">
        <v>579</v>
      </c>
      <c r="G16" t="s">
        <v>637</v>
      </c>
      <c r="J16" t="s">
        <v>712</v>
      </c>
      <c r="K16" t="s">
        <v>779</v>
      </c>
      <c r="M16" t="s">
        <v>943</v>
      </c>
      <c r="N16" t="s">
        <v>987</v>
      </c>
      <c r="O16" t="s">
        <v>1089</v>
      </c>
      <c r="P16" t="s">
        <v>1181</v>
      </c>
      <c r="Q16" t="s">
        <v>1280</v>
      </c>
      <c r="R16" t="s">
        <v>1385</v>
      </c>
      <c r="S16" t="s">
        <v>1505</v>
      </c>
      <c r="T16" t="s">
        <v>1569</v>
      </c>
      <c r="U16" t="s">
        <v>1585</v>
      </c>
      <c r="W16" t="s">
        <v>1623</v>
      </c>
      <c r="X16" t="s">
        <v>1706</v>
      </c>
      <c r="Y16" t="s">
        <v>1793</v>
      </c>
      <c r="Z16" t="s">
        <v>1875</v>
      </c>
      <c r="AA16" t="s">
        <v>1990</v>
      </c>
      <c r="AB16" t="s">
        <v>2046</v>
      </c>
      <c r="AC16" t="s">
        <v>2139</v>
      </c>
      <c r="AE16" t="s">
        <v>2165</v>
      </c>
      <c r="AF16" t="s">
        <v>2186</v>
      </c>
      <c r="AG16" t="s">
        <v>2219</v>
      </c>
      <c r="AH16" t="s">
        <v>2281</v>
      </c>
      <c r="AI16" t="s">
        <v>2381</v>
      </c>
      <c r="AJ16" t="s">
        <v>2434</v>
      </c>
      <c r="AK16" t="s">
        <v>2522</v>
      </c>
      <c r="AL16" t="s">
        <v>2599</v>
      </c>
      <c r="AM16" t="s">
        <v>2635</v>
      </c>
      <c r="AO16" t="s">
        <v>2707</v>
      </c>
      <c r="AP16" t="s">
        <v>2753</v>
      </c>
      <c r="AQ16" t="s">
        <v>2819</v>
      </c>
      <c r="AR16" t="s">
        <v>2914</v>
      </c>
      <c r="AS16" t="s">
        <v>3168</v>
      </c>
      <c r="AU16" t="s">
        <v>3211</v>
      </c>
      <c r="AV16" t="s">
        <v>3306</v>
      </c>
      <c r="AW16" t="s">
        <v>3345</v>
      </c>
      <c r="AX16" t="s">
        <v>3400</v>
      </c>
      <c r="AY16" t="s">
        <v>3472</v>
      </c>
    </row>
    <row r="17" spans="1:51" x14ac:dyDescent="0.25">
      <c r="A17" t="s">
        <v>18</v>
      </c>
      <c r="B17" t="s">
        <v>405</v>
      </c>
      <c r="C17" t="s">
        <v>472</v>
      </c>
      <c r="E17" s="2" t="s">
        <v>505</v>
      </c>
      <c r="F17" t="s">
        <v>580</v>
      </c>
      <c r="G17" t="s">
        <v>638</v>
      </c>
      <c r="J17" t="s">
        <v>713</v>
      </c>
      <c r="K17" t="s">
        <v>780</v>
      </c>
      <c r="M17" t="s">
        <v>944</v>
      </c>
      <c r="N17" t="s">
        <v>988</v>
      </c>
      <c r="O17" t="s">
        <v>1090</v>
      </c>
      <c r="P17" t="s">
        <v>1182</v>
      </c>
      <c r="Q17" t="s">
        <v>1281</v>
      </c>
      <c r="R17" t="s">
        <v>1386</v>
      </c>
      <c r="S17" t="s">
        <v>1506</v>
      </c>
      <c r="T17" t="s">
        <v>1570</v>
      </c>
      <c r="U17" t="s">
        <v>1586</v>
      </c>
      <c r="W17" t="s">
        <v>1624</v>
      </c>
      <c r="X17" t="s">
        <v>1707</v>
      </c>
      <c r="Y17" t="s">
        <v>1794</v>
      </c>
      <c r="Z17" t="s">
        <v>1876</v>
      </c>
      <c r="AA17" t="s">
        <v>1991</v>
      </c>
      <c r="AB17" t="s">
        <v>2047</v>
      </c>
      <c r="AC17" t="s">
        <v>2140</v>
      </c>
      <c r="AE17" t="s">
        <v>2166</v>
      </c>
      <c r="AF17" t="s">
        <v>2187</v>
      </c>
      <c r="AG17" t="s">
        <v>2220</v>
      </c>
      <c r="AH17" t="s">
        <v>2282</v>
      </c>
      <c r="AI17" t="s">
        <v>2382</v>
      </c>
      <c r="AJ17" t="s">
        <v>2435</v>
      </c>
      <c r="AK17" t="s">
        <v>2523</v>
      </c>
      <c r="AL17" t="s">
        <v>2600</v>
      </c>
      <c r="AM17" t="s">
        <v>2636</v>
      </c>
      <c r="AO17" t="s">
        <v>2708</v>
      </c>
      <c r="AP17" t="s">
        <v>2754</v>
      </c>
      <c r="AQ17" t="s">
        <v>2820</v>
      </c>
      <c r="AR17" t="s">
        <v>2915</v>
      </c>
      <c r="AS17" t="s">
        <v>3169</v>
      </c>
      <c r="AU17" t="s">
        <v>3212</v>
      </c>
      <c r="AV17" t="s">
        <v>3307</v>
      </c>
      <c r="AW17" t="s">
        <v>3346</v>
      </c>
      <c r="AX17" t="s">
        <v>3401</v>
      </c>
      <c r="AY17" t="s">
        <v>3473</v>
      </c>
    </row>
    <row r="18" spans="1:51" x14ac:dyDescent="0.25">
      <c r="A18" t="s">
        <v>19</v>
      </c>
      <c r="B18" t="s">
        <v>406</v>
      </c>
      <c r="C18" t="s">
        <v>473</v>
      </c>
      <c r="E18" s="2" t="s">
        <v>506</v>
      </c>
      <c r="F18" t="s">
        <v>581</v>
      </c>
      <c r="G18" t="s">
        <v>639</v>
      </c>
      <c r="J18" t="s">
        <v>714</v>
      </c>
      <c r="K18" t="s">
        <v>781</v>
      </c>
      <c r="M18" t="s">
        <v>945</v>
      </c>
      <c r="N18" t="s">
        <v>989</v>
      </c>
      <c r="O18" t="s">
        <v>1091</v>
      </c>
      <c r="P18" t="s">
        <v>1183</v>
      </c>
      <c r="Q18" t="s">
        <v>1282</v>
      </c>
      <c r="R18" t="s">
        <v>1387</v>
      </c>
      <c r="S18" t="s">
        <v>1507</v>
      </c>
      <c r="U18" t="s">
        <v>1587</v>
      </c>
      <c r="W18" t="s">
        <v>1625</v>
      </c>
      <c r="X18" t="s">
        <v>1708</v>
      </c>
      <c r="Y18" t="s">
        <v>1795</v>
      </c>
      <c r="Z18" t="s">
        <v>1877</v>
      </c>
      <c r="AA18" t="s">
        <v>1992</v>
      </c>
      <c r="AB18" t="s">
        <v>2048</v>
      </c>
      <c r="AE18" t="s">
        <v>2167</v>
      </c>
      <c r="AF18" t="s">
        <v>2188</v>
      </c>
      <c r="AG18" t="s">
        <v>2221</v>
      </c>
      <c r="AH18" t="s">
        <v>2283</v>
      </c>
      <c r="AI18" t="s">
        <v>2383</v>
      </c>
      <c r="AJ18" t="s">
        <v>2436</v>
      </c>
      <c r="AK18" t="s">
        <v>2524</v>
      </c>
      <c r="AL18" t="s">
        <v>2601</v>
      </c>
      <c r="AM18" t="s">
        <v>2637</v>
      </c>
      <c r="AO18" t="s">
        <v>2709</v>
      </c>
      <c r="AP18" t="s">
        <v>2755</v>
      </c>
      <c r="AQ18" t="s">
        <v>2821</v>
      </c>
      <c r="AR18" t="s">
        <v>2916</v>
      </c>
      <c r="AS18" t="s">
        <v>3170</v>
      </c>
      <c r="AU18" t="s">
        <v>3213</v>
      </c>
      <c r="AV18" t="s">
        <v>3308</v>
      </c>
      <c r="AW18" t="s">
        <v>3347</v>
      </c>
      <c r="AX18" t="s">
        <v>3402</v>
      </c>
      <c r="AY18" t="s">
        <v>3474</v>
      </c>
    </row>
    <row r="19" spans="1:51" x14ac:dyDescent="0.25">
      <c r="A19" t="s">
        <v>20</v>
      </c>
      <c r="B19" t="s">
        <v>407</v>
      </c>
      <c r="C19" t="s">
        <v>474</v>
      </c>
      <c r="E19" s="2" t="s">
        <v>507</v>
      </c>
      <c r="F19" t="s">
        <v>582</v>
      </c>
      <c r="G19" t="s">
        <v>640</v>
      </c>
      <c r="J19" t="s">
        <v>715</v>
      </c>
      <c r="K19" t="s">
        <v>782</v>
      </c>
      <c r="M19" t="s">
        <v>946</v>
      </c>
      <c r="N19" t="s">
        <v>990</v>
      </c>
      <c r="O19" t="s">
        <v>1092</v>
      </c>
      <c r="P19" t="s">
        <v>1184</v>
      </c>
      <c r="Q19" t="s">
        <v>1283</v>
      </c>
      <c r="R19" t="s">
        <v>1388</v>
      </c>
      <c r="S19" t="s">
        <v>1508</v>
      </c>
      <c r="U19" t="s">
        <v>1588</v>
      </c>
      <c r="W19" t="s">
        <v>1626</v>
      </c>
      <c r="X19" t="s">
        <v>1709</v>
      </c>
      <c r="Y19" t="s">
        <v>1796</v>
      </c>
      <c r="Z19" t="s">
        <v>1878</v>
      </c>
      <c r="AA19" t="s">
        <v>1993</v>
      </c>
      <c r="AB19" t="s">
        <v>2049</v>
      </c>
      <c r="AE19" t="s">
        <v>2168</v>
      </c>
      <c r="AF19" t="s">
        <v>2189</v>
      </c>
      <c r="AG19" t="s">
        <v>2222</v>
      </c>
      <c r="AH19" t="s">
        <v>2284</v>
      </c>
      <c r="AI19" t="s">
        <v>2384</v>
      </c>
      <c r="AJ19" t="s">
        <v>2437</v>
      </c>
      <c r="AK19" t="s">
        <v>2525</v>
      </c>
      <c r="AL19" t="s">
        <v>2602</v>
      </c>
      <c r="AM19" t="s">
        <v>2638</v>
      </c>
      <c r="AO19" t="s">
        <v>2710</v>
      </c>
      <c r="AP19" t="s">
        <v>2756</v>
      </c>
      <c r="AQ19" t="s">
        <v>2822</v>
      </c>
      <c r="AR19" t="s">
        <v>2917</v>
      </c>
      <c r="AS19" t="s">
        <v>3171</v>
      </c>
      <c r="AU19" t="s">
        <v>3214</v>
      </c>
      <c r="AV19" t="s">
        <v>3309</v>
      </c>
      <c r="AW19" t="s">
        <v>3348</v>
      </c>
      <c r="AX19" t="s">
        <v>3403</v>
      </c>
      <c r="AY19" t="s">
        <v>3475</v>
      </c>
    </row>
    <row r="20" spans="1:51" x14ac:dyDescent="0.25">
      <c r="A20" t="s">
        <v>21</v>
      </c>
      <c r="B20" t="s">
        <v>408</v>
      </c>
      <c r="E20" s="2" t="s">
        <v>508</v>
      </c>
      <c r="F20" t="s">
        <v>583</v>
      </c>
      <c r="G20" t="s">
        <v>641</v>
      </c>
      <c r="J20" t="s">
        <v>716</v>
      </c>
      <c r="K20" t="s">
        <v>783</v>
      </c>
      <c r="M20" t="s">
        <v>947</v>
      </c>
      <c r="N20" t="s">
        <v>991</v>
      </c>
      <c r="O20" t="s">
        <v>1093</v>
      </c>
      <c r="P20" t="s">
        <v>1185</v>
      </c>
      <c r="Q20" t="s">
        <v>1284</v>
      </c>
      <c r="R20" t="s">
        <v>1389</v>
      </c>
      <c r="S20" t="s">
        <v>1509</v>
      </c>
      <c r="U20" t="s">
        <v>1589</v>
      </c>
      <c r="W20" t="s">
        <v>1627</v>
      </c>
      <c r="X20" t="s">
        <v>1710</v>
      </c>
      <c r="Y20" t="s">
        <v>1797</v>
      </c>
      <c r="Z20" t="s">
        <v>1879</v>
      </c>
      <c r="AA20" t="s">
        <v>1994</v>
      </c>
      <c r="AB20" t="s">
        <v>2050</v>
      </c>
      <c r="AE20" t="s">
        <v>2169</v>
      </c>
      <c r="AF20" t="s">
        <v>2190</v>
      </c>
      <c r="AG20" t="s">
        <v>2223</v>
      </c>
      <c r="AH20" t="s">
        <v>2285</v>
      </c>
      <c r="AI20" t="s">
        <v>2385</v>
      </c>
      <c r="AJ20" t="s">
        <v>2438</v>
      </c>
      <c r="AK20" t="s">
        <v>2526</v>
      </c>
      <c r="AL20" t="s">
        <v>2603</v>
      </c>
      <c r="AM20" t="s">
        <v>2639</v>
      </c>
      <c r="AO20" t="s">
        <v>2711</v>
      </c>
      <c r="AP20" t="s">
        <v>2757</v>
      </c>
      <c r="AQ20" t="s">
        <v>2823</v>
      </c>
      <c r="AR20" t="s">
        <v>2918</v>
      </c>
      <c r="AS20" t="s">
        <v>3172</v>
      </c>
      <c r="AU20" t="s">
        <v>3215</v>
      </c>
      <c r="AV20" t="s">
        <v>3310</v>
      </c>
      <c r="AW20" t="s">
        <v>3349</v>
      </c>
      <c r="AX20" t="s">
        <v>3404</v>
      </c>
      <c r="AY20" t="s">
        <v>3476</v>
      </c>
    </row>
    <row r="21" spans="1:51" x14ac:dyDescent="0.25">
      <c r="A21" t="s">
        <v>22</v>
      </c>
      <c r="B21" t="s">
        <v>409</v>
      </c>
      <c r="E21" s="2" t="s">
        <v>509</v>
      </c>
      <c r="F21" t="s">
        <v>584</v>
      </c>
      <c r="G21" t="s">
        <v>642</v>
      </c>
      <c r="J21" t="s">
        <v>717</v>
      </c>
      <c r="K21" t="s">
        <v>784</v>
      </c>
      <c r="M21" t="s">
        <v>948</v>
      </c>
      <c r="N21" t="s">
        <v>992</v>
      </c>
      <c r="O21" t="s">
        <v>1094</v>
      </c>
      <c r="P21" t="s">
        <v>1186</v>
      </c>
      <c r="Q21" t="s">
        <v>1285</v>
      </c>
      <c r="R21" t="s">
        <v>1390</v>
      </c>
      <c r="S21" t="s">
        <v>1510</v>
      </c>
      <c r="U21" t="s">
        <v>1590</v>
      </c>
      <c r="W21" t="s">
        <v>1628</v>
      </c>
      <c r="X21" t="s">
        <v>1711</v>
      </c>
      <c r="Y21" t="s">
        <v>1798</v>
      </c>
      <c r="Z21" t="s">
        <v>1880</v>
      </c>
      <c r="AA21" t="s">
        <v>1995</v>
      </c>
      <c r="AB21" t="s">
        <v>2051</v>
      </c>
      <c r="AE21" t="s">
        <v>2170</v>
      </c>
      <c r="AF21" t="s">
        <v>2191</v>
      </c>
      <c r="AG21" t="s">
        <v>2224</v>
      </c>
      <c r="AH21" t="s">
        <v>2286</v>
      </c>
      <c r="AI21" t="s">
        <v>2386</v>
      </c>
      <c r="AJ21" t="s">
        <v>2439</v>
      </c>
      <c r="AK21" t="s">
        <v>2527</v>
      </c>
      <c r="AL21" t="s">
        <v>2604</v>
      </c>
      <c r="AM21" t="s">
        <v>2640</v>
      </c>
      <c r="AO21" t="s">
        <v>2712</v>
      </c>
      <c r="AP21" t="s">
        <v>2758</v>
      </c>
      <c r="AQ21" t="s">
        <v>2824</v>
      </c>
      <c r="AR21" t="s">
        <v>2919</v>
      </c>
      <c r="AS21" t="s">
        <v>3173</v>
      </c>
      <c r="AU21" t="s">
        <v>3216</v>
      </c>
      <c r="AV21" t="s">
        <v>3311</v>
      </c>
      <c r="AW21" t="s">
        <v>3350</v>
      </c>
      <c r="AX21" t="s">
        <v>3405</v>
      </c>
      <c r="AY21" t="s">
        <v>3477</v>
      </c>
    </row>
    <row r="22" spans="1:51" x14ac:dyDescent="0.25">
      <c r="A22" t="s">
        <v>23</v>
      </c>
      <c r="B22" t="s">
        <v>410</v>
      </c>
      <c r="E22" s="2" t="s">
        <v>510</v>
      </c>
      <c r="F22" t="s">
        <v>585</v>
      </c>
      <c r="G22" t="s">
        <v>643</v>
      </c>
      <c r="J22" t="s">
        <v>718</v>
      </c>
      <c r="K22" t="s">
        <v>785</v>
      </c>
      <c r="M22" t="s">
        <v>949</v>
      </c>
      <c r="N22" t="s">
        <v>993</v>
      </c>
      <c r="O22" t="s">
        <v>1095</v>
      </c>
      <c r="P22" t="s">
        <v>1187</v>
      </c>
      <c r="Q22" t="s">
        <v>1286</v>
      </c>
      <c r="R22" t="s">
        <v>1391</v>
      </c>
      <c r="S22" t="s">
        <v>1511</v>
      </c>
      <c r="U22" t="s">
        <v>1591</v>
      </c>
      <c r="W22" t="s">
        <v>1629</v>
      </c>
      <c r="X22" t="s">
        <v>1712</v>
      </c>
      <c r="Y22" t="s">
        <v>1799</v>
      </c>
      <c r="Z22" t="s">
        <v>1881</v>
      </c>
      <c r="AA22" t="s">
        <v>1996</v>
      </c>
      <c r="AB22" t="s">
        <v>2052</v>
      </c>
      <c r="AE22" t="s">
        <v>2171</v>
      </c>
      <c r="AF22" t="s">
        <v>2192</v>
      </c>
      <c r="AG22" t="s">
        <v>2225</v>
      </c>
      <c r="AH22" t="s">
        <v>2287</v>
      </c>
      <c r="AI22" t="s">
        <v>2387</v>
      </c>
      <c r="AJ22" t="s">
        <v>2440</v>
      </c>
      <c r="AK22" t="s">
        <v>2528</v>
      </c>
      <c r="AL22" t="s">
        <v>2605</v>
      </c>
      <c r="AM22" t="s">
        <v>2641</v>
      </c>
      <c r="AO22" t="s">
        <v>2713</v>
      </c>
      <c r="AP22" t="s">
        <v>2759</v>
      </c>
      <c r="AQ22" t="s">
        <v>2825</v>
      </c>
      <c r="AR22" t="s">
        <v>2920</v>
      </c>
      <c r="AS22" t="s">
        <v>3174</v>
      </c>
      <c r="AU22" t="s">
        <v>3217</v>
      </c>
      <c r="AV22" t="s">
        <v>3312</v>
      </c>
      <c r="AW22" t="s">
        <v>3351</v>
      </c>
      <c r="AX22" t="s">
        <v>3406</v>
      </c>
      <c r="AY22" t="s">
        <v>3478</v>
      </c>
    </row>
    <row r="23" spans="1:51" x14ac:dyDescent="0.25">
      <c r="A23" t="s">
        <v>24</v>
      </c>
      <c r="B23" t="s">
        <v>411</v>
      </c>
      <c r="E23" s="2" t="s">
        <v>511</v>
      </c>
      <c r="F23" t="s">
        <v>586</v>
      </c>
      <c r="G23" t="s">
        <v>644</v>
      </c>
      <c r="J23" t="s">
        <v>719</v>
      </c>
      <c r="K23" t="s">
        <v>786</v>
      </c>
      <c r="M23" t="s">
        <v>950</v>
      </c>
      <c r="N23" t="s">
        <v>994</v>
      </c>
      <c r="O23" t="s">
        <v>1096</v>
      </c>
      <c r="P23" t="s">
        <v>1188</v>
      </c>
      <c r="Q23" t="s">
        <v>1287</v>
      </c>
      <c r="R23" t="s">
        <v>1392</v>
      </c>
      <c r="S23" t="s">
        <v>1512</v>
      </c>
      <c r="U23" t="s">
        <v>1592</v>
      </c>
      <c r="W23" t="s">
        <v>1630</v>
      </c>
      <c r="X23" t="s">
        <v>1713</v>
      </c>
      <c r="Y23" t="s">
        <v>1800</v>
      </c>
      <c r="Z23" t="s">
        <v>1882</v>
      </c>
      <c r="AA23" t="s">
        <v>1997</v>
      </c>
      <c r="AB23" t="s">
        <v>2053</v>
      </c>
      <c r="AF23" t="s">
        <v>2193</v>
      </c>
      <c r="AG23" t="s">
        <v>2226</v>
      </c>
      <c r="AH23" t="s">
        <v>2288</v>
      </c>
      <c r="AI23" t="s">
        <v>2388</v>
      </c>
      <c r="AJ23" t="s">
        <v>2441</v>
      </c>
      <c r="AK23" t="s">
        <v>2529</v>
      </c>
      <c r="AL23" t="s">
        <v>2606</v>
      </c>
      <c r="AM23" t="s">
        <v>2642</v>
      </c>
      <c r="AO23" t="s">
        <v>2714</v>
      </c>
      <c r="AP23" t="s">
        <v>2760</v>
      </c>
      <c r="AQ23" t="s">
        <v>2826</v>
      </c>
      <c r="AR23" t="s">
        <v>2921</v>
      </c>
      <c r="AS23" t="s">
        <v>3175</v>
      </c>
      <c r="AU23" t="s">
        <v>3218</v>
      </c>
      <c r="AV23" t="s">
        <v>3313</v>
      </c>
      <c r="AW23" t="s">
        <v>3352</v>
      </c>
      <c r="AX23" t="s">
        <v>3407</v>
      </c>
      <c r="AY23" t="s">
        <v>3479</v>
      </c>
    </row>
    <row r="24" spans="1:51" x14ac:dyDescent="0.25">
      <c r="A24" t="s">
        <v>25</v>
      </c>
      <c r="B24" t="s">
        <v>412</v>
      </c>
      <c r="E24" s="2" t="s">
        <v>512</v>
      </c>
      <c r="F24" t="s">
        <v>587</v>
      </c>
      <c r="G24" t="s">
        <v>645</v>
      </c>
      <c r="J24" t="s">
        <v>720</v>
      </c>
      <c r="K24" t="s">
        <v>787</v>
      </c>
      <c r="M24" t="s">
        <v>951</v>
      </c>
      <c r="N24" t="s">
        <v>995</v>
      </c>
      <c r="O24" t="s">
        <v>1097</v>
      </c>
      <c r="P24" t="s">
        <v>1189</v>
      </c>
      <c r="Q24" t="s">
        <v>1288</v>
      </c>
      <c r="R24" t="s">
        <v>1393</v>
      </c>
      <c r="S24" t="s">
        <v>1513</v>
      </c>
      <c r="U24" t="s">
        <v>1593</v>
      </c>
      <c r="W24" t="s">
        <v>1631</v>
      </c>
      <c r="X24" t="s">
        <v>1714</v>
      </c>
      <c r="Y24" t="s">
        <v>1801</v>
      </c>
      <c r="Z24" t="s">
        <v>1883</v>
      </c>
      <c r="AA24" t="s">
        <v>1998</v>
      </c>
      <c r="AB24" t="s">
        <v>2054</v>
      </c>
      <c r="AF24" t="s">
        <v>2194</v>
      </c>
      <c r="AG24" t="s">
        <v>2227</v>
      </c>
      <c r="AH24" t="s">
        <v>2289</v>
      </c>
      <c r="AI24" t="s">
        <v>2389</v>
      </c>
      <c r="AJ24" t="s">
        <v>2442</v>
      </c>
      <c r="AK24" t="s">
        <v>2530</v>
      </c>
      <c r="AL24" t="s">
        <v>2607</v>
      </c>
      <c r="AM24" t="s">
        <v>2643</v>
      </c>
      <c r="AO24" t="s">
        <v>2715</v>
      </c>
      <c r="AP24" t="s">
        <v>2761</v>
      </c>
      <c r="AQ24" t="s">
        <v>2827</v>
      </c>
      <c r="AR24" t="s">
        <v>2922</v>
      </c>
      <c r="AS24" t="s">
        <v>3176</v>
      </c>
      <c r="AU24" t="s">
        <v>3219</v>
      </c>
      <c r="AV24" t="s">
        <v>3314</v>
      </c>
      <c r="AW24" t="s">
        <v>3353</v>
      </c>
      <c r="AX24" t="s">
        <v>3408</v>
      </c>
      <c r="AY24" t="s">
        <v>3480</v>
      </c>
    </row>
    <row r="25" spans="1:51" x14ac:dyDescent="0.25">
      <c r="A25" t="s">
        <v>26</v>
      </c>
      <c r="B25" t="s">
        <v>413</v>
      </c>
      <c r="E25" s="2" t="s">
        <v>513</v>
      </c>
      <c r="F25" t="s">
        <v>588</v>
      </c>
      <c r="G25" t="s">
        <v>646</v>
      </c>
      <c r="J25" t="s">
        <v>721</v>
      </c>
      <c r="K25" t="s">
        <v>788</v>
      </c>
      <c r="M25" t="s">
        <v>952</v>
      </c>
      <c r="N25" t="s">
        <v>996</v>
      </c>
      <c r="O25" t="s">
        <v>1098</v>
      </c>
      <c r="P25" t="s">
        <v>1190</v>
      </c>
      <c r="Q25" t="s">
        <v>1289</v>
      </c>
      <c r="R25" t="s">
        <v>1394</v>
      </c>
      <c r="S25" t="s">
        <v>1514</v>
      </c>
      <c r="U25" t="s">
        <v>1594</v>
      </c>
      <c r="W25" t="s">
        <v>1632</v>
      </c>
      <c r="X25" t="s">
        <v>1715</v>
      </c>
      <c r="Y25" t="s">
        <v>1802</v>
      </c>
      <c r="Z25" t="s">
        <v>1884</v>
      </c>
      <c r="AA25" t="s">
        <v>1999</v>
      </c>
      <c r="AB25" t="s">
        <v>2055</v>
      </c>
      <c r="AF25" t="s">
        <v>2195</v>
      </c>
      <c r="AG25" t="s">
        <v>2228</v>
      </c>
      <c r="AH25" t="s">
        <v>2290</v>
      </c>
      <c r="AI25" t="s">
        <v>2390</v>
      </c>
      <c r="AJ25" t="s">
        <v>2443</v>
      </c>
      <c r="AK25" t="s">
        <v>2531</v>
      </c>
      <c r="AL25" t="s">
        <v>2608</v>
      </c>
      <c r="AM25" t="s">
        <v>2644</v>
      </c>
      <c r="AO25" t="s">
        <v>2716</v>
      </c>
      <c r="AP25" t="s">
        <v>2762</v>
      </c>
      <c r="AQ25" t="s">
        <v>2828</v>
      </c>
      <c r="AR25" t="s">
        <v>2923</v>
      </c>
      <c r="AS25" t="s">
        <v>3177</v>
      </c>
      <c r="AU25" t="s">
        <v>3220</v>
      </c>
      <c r="AV25" t="s">
        <v>3315</v>
      </c>
      <c r="AW25" t="s">
        <v>3354</v>
      </c>
      <c r="AX25" t="s">
        <v>3409</v>
      </c>
    </row>
    <row r="26" spans="1:51" x14ac:dyDescent="0.25">
      <c r="A26" t="s">
        <v>27</v>
      </c>
      <c r="B26" t="s">
        <v>414</v>
      </c>
      <c r="E26" s="2" t="s">
        <v>514</v>
      </c>
      <c r="F26" t="s">
        <v>589</v>
      </c>
      <c r="G26" t="s">
        <v>647</v>
      </c>
      <c r="J26" t="s">
        <v>722</v>
      </c>
      <c r="K26" t="s">
        <v>789</v>
      </c>
      <c r="M26" t="s">
        <v>953</v>
      </c>
      <c r="N26" t="s">
        <v>997</v>
      </c>
      <c r="O26" t="s">
        <v>1099</v>
      </c>
      <c r="P26" t="s">
        <v>1191</v>
      </c>
      <c r="Q26" t="s">
        <v>1290</v>
      </c>
      <c r="R26" t="s">
        <v>1395</v>
      </c>
      <c r="S26" t="s">
        <v>1515</v>
      </c>
      <c r="W26" t="s">
        <v>1633</v>
      </c>
      <c r="X26" t="s">
        <v>1716</v>
      </c>
      <c r="Y26" t="s">
        <v>1803</v>
      </c>
      <c r="Z26" t="s">
        <v>1885</v>
      </c>
      <c r="AA26" t="s">
        <v>2000</v>
      </c>
      <c r="AB26" t="s">
        <v>2056</v>
      </c>
      <c r="AF26" t="s">
        <v>2196</v>
      </c>
      <c r="AG26" t="s">
        <v>2229</v>
      </c>
      <c r="AH26" t="s">
        <v>2291</v>
      </c>
      <c r="AI26" t="s">
        <v>2391</v>
      </c>
      <c r="AJ26" t="s">
        <v>2444</v>
      </c>
      <c r="AK26" t="s">
        <v>2532</v>
      </c>
      <c r="AL26" t="s">
        <v>2609</v>
      </c>
      <c r="AM26" t="s">
        <v>2645</v>
      </c>
      <c r="AO26" t="s">
        <v>2717</v>
      </c>
      <c r="AP26" t="s">
        <v>2763</v>
      </c>
      <c r="AQ26" t="s">
        <v>2829</v>
      </c>
      <c r="AR26" t="s">
        <v>2924</v>
      </c>
      <c r="AS26" t="s">
        <v>3178</v>
      </c>
      <c r="AU26" t="s">
        <v>3221</v>
      </c>
      <c r="AV26" t="s">
        <v>3316</v>
      </c>
      <c r="AW26" t="s">
        <v>3355</v>
      </c>
      <c r="AX26" t="s">
        <v>3410</v>
      </c>
    </row>
    <row r="27" spans="1:51" x14ac:dyDescent="0.25">
      <c r="A27" t="s">
        <v>28</v>
      </c>
      <c r="B27" t="s">
        <v>415</v>
      </c>
      <c r="E27" s="2" t="s">
        <v>515</v>
      </c>
      <c r="F27" t="s">
        <v>590</v>
      </c>
      <c r="G27" t="s">
        <v>648</v>
      </c>
      <c r="J27" t="s">
        <v>723</v>
      </c>
      <c r="K27" t="s">
        <v>790</v>
      </c>
      <c r="M27" t="s">
        <v>954</v>
      </c>
      <c r="N27" t="s">
        <v>998</v>
      </c>
      <c r="O27" t="s">
        <v>1100</v>
      </c>
      <c r="P27" t="s">
        <v>1192</v>
      </c>
      <c r="Q27" t="s">
        <v>1291</v>
      </c>
      <c r="R27" t="s">
        <v>1396</v>
      </c>
      <c r="S27" t="s">
        <v>1516</v>
      </c>
      <c r="W27" t="s">
        <v>1634</v>
      </c>
      <c r="X27" t="s">
        <v>1717</v>
      </c>
      <c r="Y27" t="s">
        <v>1804</v>
      </c>
      <c r="Z27" t="s">
        <v>1886</v>
      </c>
      <c r="AA27" t="s">
        <v>2001</v>
      </c>
      <c r="AB27" t="s">
        <v>2057</v>
      </c>
      <c r="AF27" t="s">
        <v>2197</v>
      </c>
      <c r="AG27" t="s">
        <v>2230</v>
      </c>
      <c r="AH27" t="s">
        <v>2292</v>
      </c>
      <c r="AI27" t="s">
        <v>2392</v>
      </c>
      <c r="AJ27" t="s">
        <v>2445</v>
      </c>
      <c r="AK27" t="s">
        <v>2533</v>
      </c>
      <c r="AL27" t="s">
        <v>2610</v>
      </c>
      <c r="AM27" t="s">
        <v>2646</v>
      </c>
      <c r="AO27" t="s">
        <v>2718</v>
      </c>
      <c r="AP27" t="s">
        <v>2764</v>
      </c>
      <c r="AQ27" t="s">
        <v>2830</v>
      </c>
      <c r="AR27" t="s">
        <v>2925</v>
      </c>
      <c r="AS27" t="s">
        <v>3179</v>
      </c>
      <c r="AU27" t="s">
        <v>3222</v>
      </c>
      <c r="AV27" t="s">
        <v>3317</v>
      </c>
      <c r="AW27" t="s">
        <v>3356</v>
      </c>
      <c r="AX27" t="s">
        <v>3411</v>
      </c>
    </row>
    <row r="28" spans="1:51" x14ac:dyDescent="0.25">
      <c r="A28" t="s">
        <v>29</v>
      </c>
      <c r="B28" t="s">
        <v>416</v>
      </c>
      <c r="E28" s="2" t="s">
        <v>516</v>
      </c>
      <c r="F28" t="s">
        <v>591</v>
      </c>
      <c r="G28" t="s">
        <v>649</v>
      </c>
      <c r="J28" t="s">
        <v>724</v>
      </c>
      <c r="K28" t="s">
        <v>791</v>
      </c>
      <c r="M28" t="s">
        <v>955</v>
      </c>
      <c r="N28" t="s">
        <v>999</v>
      </c>
      <c r="O28" t="s">
        <v>1101</v>
      </c>
      <c r="P28" t="s">
        <v>1193</v>
      </c>
      <c r="Q28" t="s">
        <v>1292</v>
      </c>
      <c r="R28" t="s">
        <v>1397</v>
      </c>
      <c r="S28" t="s">
        <v>1517</v>
      </c>
      <c r="W28" t="s">
        <v>1635</v>
      </c>
      <c r="X28" t="s">
        <v>1718</v>
      </c>
      <c r="Y28" t="s">
        <v>1805</v>
      </c>
      <c r="Z28" t="s">
        <v>1887</v>
      </c>
      <c r="AA28" t="s">
        <v>2002</v>
      </c>
      <c r="AB28" t="s">
        <v>2058</v>
      </c>
      <c r="AF28" t="s">
        <v>2198</v>
      </c>
      <c r="AG28" t="s">
        <v>2231</v>
      </c>
      <c r="AH28" t="s">
        <v>2293</v>
      </c>
      <c r="AI28" t="s">
        <v>2393</v>
      </c>
      <c r="AJ28" t="s">
        <v>2446</v>
      </c>
      <c r="AK28" t="s">
        <v>2534</v>
      </c>
      <c r="AL28" t="s">
        <v>2611</v>
      </c>
      <c r="AM28" t="s">
        <v>2647</v>
      </c>
      <c r="AO28" t="s">
        <v>2719</v>
      </c>
      <c r="AP28" t="s">
        <v>2765</v>
      </c>
      <c r="AQ28" t="s">
        <v>2831</v>
      </c>
      <c r="AR28" t="s">
        <v>2926</v>
      </c>
      <c r="AS28" t="s">
        <v>3180</v>
      </c>
      <c r="AU28" t="s">
        <v>3223</v>
      </c>
      <c r="AV28" t="s">
        <v>3318</v>
      </c>
      <c r="AW28" t="s">
        <v>3357</v>
      </c>
      <c r="AX28" t="s">
        <v>3412</v>
      </c>
    </row>
    <row r="29" spans="1:51" x14ac:dyDescent="0.25">
      <c r="A29" t="s">
        <v>30</v>
      </c>
      <c r="B29" t="s">
        <v>417</v>
      </c>
      <c r="E29" s="2" t="s">
        <v>517</v>
      </c>
      <c r="F29" t="s">
        <v>592</v>
      </c>
      <c r="G29" t="s">
        <v>650</v>
      </c>
      <c r="J29" t="s">
        <v>725</v>
      </c>
      <c r="K29" t="s">
        <v>792</v>
      </c>
      <c r="M29" t="s">
        <v>956</v>
      </c>
      <c r="N29" t="s">
        <v>1000</v>
      </c>
      <c r="O29" t="s">
        <v>1102</v>
      </c>
      <c r="P29" t="s">
        <v>1194</v>
      </c>
      <c r="Q29" t="s">
        <v>1293</v>
      </c>
      <c r="R29" t="s">
        <v>1398</v>
      </c>
      <c r="S29" t="s">
        <v>1518</v>
      </c>
      <c r="W29" t="s">
        <v>1636</v>
      </c>
      <c r="X29" t="s">
        <v>1719</v>
      </c>
      <c r="Y29" t="s">
        <v>1806</v>
      </c>
      <c r="Z29" t="s">
        <v>1888</v>
      </c>
      <c r="AA29" t="s">
        <v>2003</v>
      </c>
      <c r="AB29" t="s">
        <v>2059</v>
      </c>
      <c r="AF29" t="s">
        <v>2199</v>
      </c>
      <c r="AG29" t="s">
        <v>2232</v>
      </c>
      <c r="AH29" t="s">
        <v>2294</v>
      </c>
      <c r="AI29" t="s">
        <v>2394</v>
      </c>
      <c r="AJ29" t="s">
        <v>2447</v>
      </c>
      <c r="AK29" t="s">
        <v>2535</v>
      </c>
      <c r="AL29" t="s">
        <v>2612</v>
      </c>
      <c r="AM29" t="s">
        <v>2648</v>
      </c>
      <c r="AO29" t="s">
        <v>2720</v>
      </c>
      <c r="AP29" t="s">
        <v>2766</v>
      </c>
      <c r="AQ29" t="s">
        <v>2832</v>
      </c>
      <c r="AR29" t="s">
        <v>2927</v>
      </c>
      <c r="AS29" t="s">
        <v>3181</v>
      </c>
      <c r="AU29" t="s">
        <v>3224</v>
      </c>
      <c r="AV29" t="s">
        <v>3319</v>
      </c>
      <c r="AW29" t="s">
        <v>3358</v>
      </c>
      <c r="AX29" t="s">
        <v>3413</v>
      </c>
    </row>
    <row r="30" spans="1:51" x14ac:dyDescent="0.25">
      <c r="A30" t="s">
        <v>31</v>
      </c>
      <c r="B30" t="s">
        <v>418</v>
      </c>
      <c r="E30" s="2" t="s">
        <v>518</v>
      </c>
      <c r="F30" t="s">
        <v>593</v>
      </c>
      <c r="G30" t="s">
        <v>651</v>
      </c>
      <c r="J30" t="s">
        <v>726</v>
      </c>
      <c r="K30" t="s">
        <v>793</v>
      </c>
      <c r="M30" t="s">
        <v>957</v>
      </c>
      <c r="N30" t="s">
        <v>1001</v>
      </c>
      <c r="O30" t="s">
        <v>1103</v>
      </c>
      <c r="P30" t="s">
        <v>1195</v>
      </c>
      <c r="Q30" t="s">
        <v>1294</v>
      </c>
      <c r="R30" t="s">
        <v>1399</v>
      </c>
      <c r="S30" t="s">
        <v>1519</v>
      </c>
      <c r="W30" t="s">
        <v>1637</v>
      </c>
      <c r="X30" t="s">
        <v>1720</v>
      </c>
      <c r="Y30" t="s">
        <v>1807</v>
      </c>
      <c r="Z30" t="s">
        <v>1889</v>
      </c>
      <c r="AA30" t="s">
        <v>2004</v>
      </c>
      <c r="AB30" t="s">
        <v>2060</v>
      </c>
      <c r="AF30" t="s">
        <v>2200</v>
      </c>
      <c r="AG30" t="s">
        <v>2233</v>
      </c>
      <c r="AH30" t="s">
        <v>2295</v>
      </c>
      <c r="AI30" t="s">
        <v>2395</v>
      </c>
      <c r="AJ30" t="s">
        <v>2448</v>
      </c>
      <c r="AK30" t="s">
        <v>2536</v>
      </c>
      <c r="AL30" t="s">
        <v>2613</v>
      </c>
      <c r="AM30" t="s">
        <v>2649</v>
      </c>
      <c r="AO30" t="s">
        <v>2721</v>
      </c>
      <c r="AP30" t="s">
        <v>2767</v>
      </c>
      <c r="AQ30" t="s">
        <v>2833</v>
      </c>
      <c r="AR30" t="s">
        <v>2928</v>
      </c>
      <c r="AS30" t="s">
        <v>3182</v>
      </c>
      <c r="AU30" t="s">
        <v>3225</v>
      </c>
      <c r="AV30" t="s">
        <v>3320</v>
      </c>
      <c r="AW30" t="s">
        <v>3359</v>
      </c>
      <c r="AX30" t="s">
        <v>3414</v>
      </c>
    </row>
    <row r="31" spans="1:51" x14ac:dyDescent="0.25">
      <c r="A31" t="s">
        <v>32</v>
      </c>
      <c r="B31" t="s">
        <v>419</v>
      </c>
      <c r="E31" s="2" t="s">
        <v>519</v>
      </c>
      <c r="F31" t="s">
        <v>594</v>
      </c>
      <c r="G31" t="s">
        <v>652</v>
      </c>
      <c r="J31" t="s">
        <v>727</v>
      </c>
      <c r="K31" t="s">
        <v>794</v>
      </c>
      <c r="M31" t="s">
        <v>958</v>
      </c>
      <c r="N31" t="s">
        <v>1002</v>
      </c>
      <c r="O31" t="s">
        <v>1104</v>
      </c>
      <c r="P31" t="s">
        <v>1196</v>
      </c>
      <c r="Q31" t="s">
        <v>1295</v>
      </c>
      <c r="R31" t="s">
        <v>1400</v>
      </c>
      <c r="S31" t="s">
        <v>1520</v>
      </c>
      <c r="W31" t="s">
        <v>1638</v>
      </c>
      <c r="X31" t="s">
        <v>1721</v>
      </c>
      <c r="Y31" t="s">
        <v>1808</v>
      </c>
      <c r="Z31" t="s">
        <v>1890</v>
      </c>
      <c r="AA31" t="s">
        <v>2005</v>
      </c>
      <c r="AB31" t="s">
        <v>2061</v>
      </c>
      <c r="AF31" t="s">
        <v>2201</v>
      </c>
      <c r="AG31" t="s">
        <v>2234</v>
      </c>
      <c r="AH31" t="s">
        <v>2296</v>
      </c>
      <c r="AI31" t="s">
        <v>2396</v>
      </c>
      <c r="AJ31" t="s">
        <v>2449</v>
      </c>
      <c r="AK31" t="s">
        <v>2537</v>
      </c>
      <c r="AL31" t="s">
        <v>2614</v>
      </c>
      <c r="AM31" t="s">
        <v>2650</v>
      </c>
      <c r="AO31" t="s">
        <v>2722</v>
      </c>
      <c r="AP31" t="s">
        <v>2768</v>
      </c>
      <c r="AQ31" t="s">
        <v>2834</v>
      </c>
      <c r="AR31" t="s">
        <v>2929</v>
      </c>
      <c r="AU31" t="s">
        <v>3226</v>
      </c>
      <c r="AV31" t="s">
        <v>3321</v>
      </c>
      <c r="AW31" t="s">
        <v>3360</v>
      </c>
      <c r="AX31" t="s">
        <v>3415</v>
      </c>
    </row>
    <row r="32" spans="1:51" x14ac:dyDescent="0.25">
      <c r="A32" t="s">
        <v>33</v>
      </c>
      <c r="B32" t="s">
        <v>420</v>
      </c>
      <c r="E32" s="2" t="s">
        <v>520</v>
      </c>
      <c r="F32" t="s">
        <v>595</v>
      </c>
      <c r="G32" t="s">
        <v>653</v>
      </c>
      <c r="J32" t="s">
        <v>728</v>
      </c>
      <c r="K32" t="s">
        <v>795</v>
      </c>
      <c r="M32" t="s">
        <v>959</v>
      </c>
      <c r="N32" t="s">
        <v>1003</v>
      </c>
      <c r="O32" t="s">
        <v>1105</v>
      </c>
      <c r="P32" t="s">
        <v>1197</v>
      </c>
      <c r="Q32" t="s">
        <v>1296</v>
      </c>
      <c r="R32" t="s">
        <v>1401</v>
      </c>
      <c r="S32" t="s">
        <v>1521</v>
      </c>
      <c r="W32" t="s">
        <v>1639</v>
      </c>
      <c r="X32" t="s">
        <v>1722</v>
      </c>
      <c r="Y32" t="s">
        <v>1809</v>
      </c>
      <c r="Z32" t="s">
        <v>1891</v>
      </c>
      <c r="AA32" t="s">
        <v>2006</v>
      </c>
      <c r="AB32" t="s">
        <v>2062</v>
      </c>
      <c r="AF32" t="s">
        <v>2202</v>
      </c>
      <c r="AG32" t="s">
        <v>2235</v>
      </c>
      <c r="AH32" t="s">
        <v>2297</v>
      </c>
      <c r="AI32" t="s">
        <v>2397</v>
      </c>
      <c r="AJ32" t="s">
        <v>2450</v>
      </c>
      <c r="AK32" t="s">
        <v>2538</v>
      </c>
      <c r="AL32" t="s">
        <v>2615</v>
      </c>
      <c r="AM32" t="s">
        <v>2651</v>
      </c>
      <c r="AO32" t="s">
        <v>2723</v>
      </c>
      <c r="AP32" t="s">
        <v>2769</v>
      </c>
      <c r="AQ32" t="s">
        <v>2835</v>
      </c>
      <c r="AR32" t="s">
        <v>2930</v>
      </c>
      <c r="AU32" t="s">
        <v>3227</v>
      </c>
      <c r="AV32" t="s">
        <v>3322</v>
      </c>
      <c r="AW32" t="s">
        <v>3361</v>
      </c>
      <c r="AX32" t="s">
        <v>3416</v>
      </c>
    </row>
    <row r="33" spans="1:50" x14ac:dyDescent="0.25">
      <c r="A33" t="s">
        <v>34</v>
      </c>
      <c r="B33" t="s">
        <v>421</v>
      </c>
      <c r="E33" s="2" t="s">
        <v>521</v>
      </c>
      <c r="F33" t="s">
        <v>596</v>
      </c>
      <c r="G33" t="s">
        <v>654</v>
      </c>
      <c r="J33" t="s">
        <v>729</v>
      </c>
      <c r="K33" t="s">
        <v>796</v>
      </c>
      <c r="M33" t="s">
        <v>960</v>
      </c>
      <c r="N33" t="s">
        <v>1004</v>
      </c>
      <c r="O33" t="s">
        <v>1106</v>
      </c>
      <c r="P33" t="s">
        <v>1198</v>
      </c>
      <c r="Q33" t="s">
        <v>1297</v>
      </c>
      <c r="R33" t="s">
        <v>1402</v>
      </c>
      <c r="S33" t="s">
        <v>1522</v>
      </c>
      <c r="W33" t="s">
        <v>1640</v>
      </c>
      <c r="X33" t="s">
        <v>1723</v>
      </c>
      <c r="Y33" t="s">
        <v>1810</v>
      </c>
      <c r="Z33" t="s">
        <v>1892</v>
      </c>
      <c r="AA33" t="s">
        <v>2007</v>
      </c>
      <c r="AB33" t="s">
        <v>2063</v>
      </c>
      <c r="AF33" t="s">
        <v>2203</v>
      </c>
      <c r="AG33" t="s">
        <v>2236</v>
      </c>
      <c r="AH33" t="s">
        <v>2298</v>
      </c>
      <c r="AI33" t="s">
        <v>2398</v>
      </c>
      <c r="AJ33" t="s">
        <v>2451</v>
      </c>
      <c r="AK33" t="s">
        <v>2539</v>
      </c>
      <c r="AL33" t="s">
        <v>2616</v>
      </c>
      <c r="AM33" t="s">
        <v>2652</v>
      </c>
      <c r="AO33" t="s">
        <v>2724</v>
      </c>
      <c r="AP33" t="s">
        <v>2770</v>
      </c>
      <c r="AQ33" t="s">
        <v>2836</v>
      </c>
      <c r="AR33" t="s">
        <v>2931</v>
      </c>
      <c r="AU33" t="s">
        <v>3228</v>
      </c>
      <c r="AV33" t="s">
        <v>3323</v>
      </c>
      <c r="AW33" t="s">
        <v>3362</v>
      </c>
      <c r="AX33" t="s">
        <v>3417</v>
      </c>
    </row>
    <row r="34" spans="1:50" x14ac:dyDescent="0.25">
      <c r="A34" t="s">
        <v>35</v>
      </c>
      <c r="B34" t="s">
        <v>422</v>
      </c>
      <c r="E34" s="2" t="s">
        <v>522</v>
      </c>
      <c r="F34" t="s">
        <v>597</v>
      </c>
      <c r="G34" t="s">
        <v>655</v>
      </c>
      <c r="J34" t="s">
        <v>730</v>
      </c>
      <c r="K34" t="s">
        <v>797</v>
      </c>
      <c r="M34" t="s">
        <v>961</v>
      </c>
      <c r="N34" t="s">
        <v>1005</v>
      </c>
      <c r="O34" t="s">
        <v>1107</v>
      </c>
      <c r="P34" t="s">
        <v>1199</v>
      </c>
      <c r="Q34" t="s">
        <v>1298</v>
      </c>
      <c r="R34" t="s">
        <v>1403</v>
      </c>
      <c r="S34" t="s">
        <v>1523</v>
      </c>
      <c r="W34" t="s">
        <v>1641</v>
      </c>
      <c r="X34" t="s">
        <v>1724</v>
      </c>
      <c r="Y34" t="s">
        <v>1811</v>
      </c>
      <c r="Z34" t="s">
        <v>1893</v>
      </c>
      <c r="AA34" t="s">
        <v>2008</v>
      </c>
      <c r="AB34" t="s">
        <v>2064</v>
      </c>
      <c r="AF34" t="s">
        <v>2204</v>
      </c>
      <c r="AG34" t="s">
        <v>2237</v>
      </c>
      <c r="AH34" t="s">
        <v>2299</v>
      </c>
      <c r="AI34" t="s">
        <v>2399</v>
      </c>
      <c r="AJ34" t="s">
        <v>2452</v>
      </c>
      <c r="AK34" t="s">
        <v>2540</v>
      </c>
      <c r="AL34" t="s">
        <v>2617</v>
      </c>
      <c r="AM34" t="s">
        <v>2653</v>
      </c>
      <c r="AO34" t="s">
        <v>2725</v>
      </c>
      <c r="AP34" t="s">
        <v>2771</v>
      </c>
      <c r="AQ34" t="s">
        <v>2837</v>
      </c>
      <c r="AR34" t="s">
        <v>2932</v>
      </c>
      <c r="AU34" t="s">
        <v>3229</v>
      </c>
      <c r="AV34" t="s">
        <v>3324</v>
      </c>
      <c r="AW34" t="s">
        <v>3363</v>
      </c>
      <c r="AX34" t="s">
        <v>3418</v>
      </c>
    </row>
    <row r="35" spans="1:50" x14ac:dyDescent="0.25">
      <c r="A35" t="s">
        <v>36</v>
      </c>
      <c r="B35" t="s">
        <v>423</v>
      </c>
      <c r="E35" s="2" t="s">
        <v>523</v>
      </c>
      <c r="F35" t="s">
        <v>598</v>
      </c>
      <c r="G35" t="s">
        <v>656</v>
      </c>
      <c r="J35" t="s">
        <v>731</v>
      </c>
      <c r="K35" t="s">
        <v>798</v>
      </c>
      <c r="M35" t="s">
        <v>962</v>
      </c>
      <c r="N35" t="s">
        <v>1006</v>
      </c>
      <c r="O35" t="s">
        <v>1108</v>
      </c>
      <c r="P35" t="s">
        <v>1200</v>
      </c>
      <c r="Q35" t="s">
        <v>1299</v>
      </c>
      <c r="R35" t="s">
        <v>1404</v>
      </c>
      <c r="S35" t="s">
        <v>1524</v>
      </c>
      <c r="W35" t="s">
        <v>1642</v>
      </c>
      <c r="X35" t="s">
        <v>1725</v>
      </c>
      <c r="Y35" t="s">
        <v>1812</v>
      </c>
      <c r="Z35" t="s">
        <v>1894</v>
      </c>
      <c r="AA35" t="s">
        <v>2009</v>
      </c>
      <c r="AB35" t="s">
        <v>2065</v>
      </c>
      <c r="AG35" t="s">
        <v>2238</v>
      </c>
      <c r="AH35" t="s">
        <v>2300</v>
      </c>
      <c r="AI35" t="s">
        <v>2400</v>
      </c>
      <c r="AJ35" t="s">
        <v>2453</v>
      </c>
      <c r="AK35" t="s">
        <v>2541</v>
      </c>
      <c r="AL35" t="s">
        <v>2618</v>
      </c>
      <c r="AM35" t="s">
        <v>2654</v>
      </c>
      <c r="AO35" t="s">
        <v>2726</v>
      </c>
      <c r="AP35" t="s">
        <v>2772</v>
      </c>
      <c r="AQ35" t="s">
        <v>2838</v>
      </c>
      <c r="AR35" t="s">
        <v>2933</v>
      </c>
      <c r="AU35" t="s">
        <v>3230</v>
      </c>
      <c r="AV35" t="s">
        <v>3325</v>
      </c>
      <c r="AW35" t="s">
        <v>3364</v>
      </c>
      <c r="AX35" t="s">
        <v>3419</v>
      </c>
    </row>
    <row r="36" spans="1:50" x14ac:dyDescent="0.25">
      <c r="A36" t="s">
        <v>37</v>
      </c>
      <c r="B36" t="s">
        <v>424</v>
      </c>
      <c r="E36" s="2" t="s">
        <v>524</v>
      </c>
      <c r="F36" t="s">
        <v>599</v>
      </c>
      <c r="G36" t="s">
        <v>657</v>
      </c>
      <c r="J36" t="s">
        <v>732</v>
      </c>
      <c r="K36" t="s">
        <v>799</v>
      </c>
      <c r="M36" t="s">
        <v>963</v>
      </c>
      <c r="N36" t="s">
        <v>1007</v>
      </c>
      <c r="O36" t="s">
        <v>1109</v>
      </c>
      <c r="P36" t="s">
        <v>1201</v>
      </c>
      <c r="Q36" t="s">
        <v>1300</v>
      </c>
      <c r="R36" t="s">
        <v>1405</v>
      </c>
      <c r="S36" t="s">
        <v>1525</v>
      </c>
      <c r="W36" t="s">
        <v>1643</v>
      </c>
      <c r="X36" t="s">
        <v>1726</v>
      </c>
      <c r="Y36" t="s">
        <v>1813</v>
      </c>
      <c r="Z36" t="s">
        <v>1895</v>
      </c>
      <c r="AA36" t="s">
        <v>2010</v>
      </c>
      <c r="AB36" t="s">
        <v>2066</v>
      </c>
      <c r="AG36" t="s">
        <v>2239</v>
      </c>
      <c r="AH36" t="s">
        <v>2301</v>
      </c>
      <c r="AI36" t="s">
        <v>2401</v>
      </c>
      <c r="AJ36" t="s">
        <v>2454</v>
      </c>
      <c r="AK36" t="s">
        <v>2542</v>
      </c>
      <c r="AL36" t="s">
        <v>2619</v>
      </c>
      <c r="AM36" t="s">
        <v>2655</v>
      </c>
      <c r="AO36" t="s">
        <v>2727</v>
      </c>
      <c r="AP36" t="s">
        <v>2773</v>
      </c>
      <c r="AQ36" t="s">
        <v>2839</v>
      </c>
      <c r="AR36" t="s">
        <v>2934</v>
      </c>
      <c r="AU36" t="s">
        <v>3231</v>
      </c>
      <c r="AV36" t="s">
        <v>3326</v>
      </c>
      <c r="AW36" t="s">
        <v>3365</v>
      </c>
      <c r="AX36" t="s">
        <v>3420</v>
      </c>
    </row>
    <row r="37" spans="1:50" x14ac:dyDescent="0.25">
      <c r="A37" t="s">
        <v>38</v>
      </c>
      <c r="B37" t="s">
        <v>425</v>
      </c>
      <c r="E37" s="2" t="s">
        <v>525</v>
      </c>
      <c r="F37" t="s">
        <v>600</v>
      </c>
      <c r="G37" t="s">
        <v>658</v>
      </c>
      <c r="J37" t="s">
        <v>733</v>
      </c>
      <c r="K37" t="s">
        <v>800</v>
      </c>
      <c r="M37" t="s">
        <v>964</v>
      </c>
      <c r="N37" t="s">
        <v>1008</v>
      </c>
      <c r="O37" t="s">
        <v>1110</v>
      </c>
      <c r="P37" t="s">
        <v>1202</v>
      </c>
      <c r="Q37" t="s">
        <v>1301</v>
      </c>
      <c r="R37" t="s">
        <v>1406</v>
      </c>
      <c r="S37" t="s">
        <v>1526</v>
      </c>
      <c r="W37" t="s">
        <v>1644</v>
      </c>
      <c r="X37" t="s">
        <v>1727</v>
      </c>
      <c r="Y37" t="s">
        <v>1814</v>
      </c>
      <c r="Z37" t="s">
        <v>1896</v>
      </c>
      <c r="AA37" t="s">
        <v>2011</v>
      </c>
      <c r="AB37" t="s">
        <v>2067</v>
      </c>
      <c r="AG37" t="s">
        <v>2240</v>
      </c>
      <c r="AH37" t="s">
        <v>2302</v>
      </c>
      <c r="AI37" t="s">
        <v>2402</v>
      </c>
      <c r="AJ37" t="s">
        <v>2455</v>
      </c>
      <c r="AK37" t="s">
        <v>2543</v>
      </c>
      <c r="AL37" t="s">
        <v>2620</v>
      </c>
      <c r="AM37" t="s">
        <v>2656</v>
      </c>
      <c r="AO37" t="s">
        <v>2728</v>
      </c>
      <c r="AP37" t="s">
        <v>2774</v>
      </c>
      <c r="AQ37" t="s">
        <v>2840</v>
      </c>
      <c r="AR37" t="s">
        <v>2935</v>
      </c>
      <c r="AU37" t="s">
        <v>3232</v>
      </c>
      <c r="AV37" t="s">
        <v>3327</v>
      </c>
      <c r="AW37" t="s">
        <v>3366</v>
      </c>
      <c r="AX37" t="s">
        <v>3421</v>
      </c>
    </row>
    <row r="38" spans="1:50" x14ac:dyDescent="0.25">
      <c r="A38" t="s">
        <v>39</v>
      </c>
      <c r="B38" t="s">
        <v>426</v>
      </c>
      <c r="E38" s="2" t="s">
        <v>526</v>
      </c>
      <c r="F38" t="s">
        <v>601</v>
      </c>
      <c r="G38" t="s">
        <v>659</v>
      </c>
      <c r="J38" t="s">
        <v>734</v>
      </c>
      <c r="K38" t="s">
        <v>801</v>
      </c>
      <c r="M38" t="s">
        <v>965</v>
      </c>
      <c r="N38" t="s">
        <v>1009</v>
      </c>
      <c r="O38" t="s">
        <v>1111</v>
      </c>
      <c r="P38" t="s">
        <v>1203</v>
      </c>
      <c r="Q38" t="s">
        <v>1302</v>
      </c>
      <c r="R38" t="s">
        <v>1407</v>
      </c>
      <c r="S38" t="s">
        <v>1527</v>
      </c>
      <c r="W38" t="s">
        <v>1645</v>
      </c>
      <c r="X38" t="s">
        <v>1728</v>
      </c>
      <c r="Y38" t="s">
        <v>1815</v>
      </c>
      <c r="Z38" t="s">
        <v>1897</v>
      </c>
      <c r="AA38" t="s">
        <v>2012</v>
      </c>
      <c r="AB38" t="s">
        <v>2068</v>
      </c>
      <c r="AG38" t="s">
        <v>2241</v>
      </c>
      <c r="AH38" t="s">
        <v>2303</v>
      </c>
      <c r="AI38" t="s">
        <v>2403</v>
      </c>
      <c r="AJ38" t="s">
        <v>2456</v>
      </c>
      <c r="AK38" t="s">
        <v>2544</v>
      </c>
      <c r="AM38" t="s">
        <v>2657</v>
      </c>
      <c r="AO38" t="s">
        <v>2729</v>
      </c>
      <c r="AP38" t="s">
        <v>2775</v>
      </c>
      <c r="AQ38" t="s">
        <v>2841</v>
      </c>
      <c r="AR38" t="s">
        <v>2936</v>
      </c>
      <c r="AU38" t="s">
        <v>3233</v>
      </c>
      <c r="AV38" t="s">
        <v>3328</v>
      </c>
      <c r="AW38" t="s">
        <v>3367</v>
      </c>
      <c r="AX38" t="s">
        <v>3422</v>
      </c>
    </row>
    <row r="39" spans="1:50" x14ac:dyDescent="0.25">
      <c r="A39" t="s">
        <v>40</v>
      </c>
      <c r="B39" t="s">
        <v>427</v>
      </c>
      <c r="E39" s="2" t="s">
        <v>527</v>
      </c>
      <c r="F39" t="s">
        <v>602</v>
      </c>
      <c r="G39" t="s">
        <v>660</v>
      </c>
      <c r="J39" t="s">
        <v>735</v>
      </c>
      <c r="K39" t="s">
        <v>802</v>
      </c>
      <c r="M39" t="s">
        <v>966</v>
      </c>
      <c r="N39" t="s">
        <v>1010</v>
      </c>
      <c r="O39" t="s">
        <v>1112</v>
      </c>
      <c r="P39" t="s">
        <v>1204</v>
      </c>
      <c r="Q39" t="s">
        <v>1303</v>
      </c>
      <c r="R39" t="s">
        <v>1408</v>
      </c>
      <c r="S39" t="s">
        <v>1528</v>
      </c>
      <c r="W39" t="s">
        <v>1646</v>
      </c>
      <c r="X39" t="s">
        <v>1729</v>
      </c>
      <c r="Y39" t="s">
        <v>1816</v>
      </c>
      <c r="Z39" t="s">
        <v>1898</v>
      </c>
      <c r="AA39" t="s">
        <v>2013</v>
      </c>
      <c r="AB39" t="s">
        <v>2069</v>
      </c>
      <c r="AG39" t="s">
        <v>2242</v>
      </c>
      <c r="AH39" t="s">
        <v>2304</v>
      </c>
      <c r="AI39" t="s">
        <v>2404</v>
      </c>
      <c r="AJ39" t="s">
        <v>2457</v>
      </c>
      <c r="AK39" t="s">
        <v>2545</v>
      </c>
      <c r="AM39" t="s">
        <v>2658</v>
      </c>
      <c r="AO39" t="s">
        <v>2730</v>
      </c>
      <c r="AP39" t="s">
        <v>2776</v>
      </c>
      <c r="AQ39" t="s">
        <v>2842</v>
      </c>
      <c r="AR39" t="s">
        <v>2937</v>
      </c>
      <c r="AU39" t="s">
        <v>3234</v>
      </c>
      <c r="AV39" t="s">
        <v>3329</v>
      </c>
      <c r="AW39" t="s">
        <v>3368</v>
      </c>
      <c r="AX39" t="s">
        <v>3423</v>
      </c>
    </row>
    <row r="40" spans="1:50" x14ac:dyDescent="0.25">
      <c r="A40" t="s">
        <v>41</v>
      </c>
      <c r="B40" t="s">
        <v>428</v>
      </c>
      <c r="E40" s="2" t="s">
        <v>528</v>
      </c>
      <c r="F40" t="s">
        <v>603</v>
      </c>
      <c r="G40" t="s">
        <v>661</v>
      </c>
      <c r="J40" t="s">
        <v>736</v>
      </c>
      <c r="K40" t="s">
        <v>803</v>
      </c>
      <c r="M40" t="s">
        <v>967</v>
      </c>
      <c r="N40" t="s">
        <v>1011</v>
      </c>
      <c r="O40" t="s">
        <v>1113</v>
      </c>
      <c r="P40" t="s">
        <v>1205</v>
      </c>
      <c r="Q40" t="s">
        <v>1304</v>
      </c>
      <c r="R40" t="s">
        <v>1409</v>
      </c>
      <c r="S40" t="s">
        <v>1529</v>
      </c>
      <c r="W40" t="s">
        <v>1647</v>
      </c>
      <c r="X40" t="s">
        <v>1730</v>
      </c>
      <c r="Y40" t="s">
        <v>1817</v>
      </c>
      <c r="Z40" t="s">
        <v>1899</v>
      </c>
      <c r="AA40" t="s">
        <v>2014</v>
      </c>
      <c r="AB40" t="s">
        <v>2070</v>
      </c>
      <c r="AG40" t="s">
        <v>2243</v>
      </c>
      <c r="AH40" t="s">
        <v>2305</v>
      </c>
      <c r="AI40" t="s">
        <v>2405</v>
      </c>
      <c r="AJ40" t="s">
        <v>2458</v>
      </c>
      <c r="AK40" t="s">
        <v>2546</v>
      </c>
      <c r="AM40" t="s">
        <v>2659</v>
      </c>
      <c r="AO40" t="s">
        <v>2731</v>
      </c>
      <c r="AP40" t="s">
        <v>2777</v>
      </c>
      <c r="AQ40" t="s">
        <v>2843</v>
      </c>
      <c r="AR40" t="s">
        <v>2938</v>
      </c>
      <c r="AU40" t="s">
        <v>3235</v>
      </c>
      <c r="AV40" t="s">
        <v>3330</v>
      </c>
      <c r="AW40" t="s">
        <v>3369</v>
      </c>
      <c r="AX40" t="s">
        <v>3424</v>
      </c>
    </row>
    <row r="41" spans="1:50" x14ac:dyDescent="0.25">
      <c r="A41" t="s">
        <v>42</v>
      </c>
      <c r="B41" t="s">
        <v>429</v>
      </c>
      <c r="E41" s="2" t="s">
        <v>529</v>
      </c>
      <c r="F41" t="s">
        <v>604</v>
      </c>
      <c r="G41" t="s">
        <v>662</v>
      </c>
      <c r="J41" t="s">
        <v>737</v>
      </c>
      <c r="K41" t="s">
        <v>804</v>
      </c>
      <c r="M41" t="s">
        <v>968</v>
      </c>
      <c r="N41" t="s">
        <v>1012</v>
      </c>
      <c r="O41" t="s">
        <v>1114</v>
      </c>
      <c r="P41" t="s">
        <v>1206</v>
      </c>
      <c r="Q41" t="s">
        <v>1305</v>
      </c>
      <c r="R41" t="s">
        <v>1410</v>
      </c>
      <c r="S41" t="s">
        <v>1530</v>
      </c>
      <c r="W41" t="s">
        <v>1648</v>
      </c>
      <c r="X41" t="s">
        <v>1731</v>
      </c>
      <c r="Y41" t="s">
        <v>1818</v>
      </c>
      <c r="Z41" t="s">
        <v>1900</v>
      </c>
      <c r="AA41" t="s">
        <v>2015</v>
      </c>
      <c r="AB41" t="s">
        <v>2071</v>
      </c>
      <c r="AG41" t="s">
        <v>2244</v>
      </c>
      <c r="AH41" t="s">
        <v>2306</v>
      </c>
      <c r="AI41" t="s">
        <v>2406</v>
      </c>
      <c r="AJ41" t="s">
        <v>2459</v>
      </c>
      <c r="AK41" t="s">
        <v>2547</v>
      </c>
      <c r="AM41" t="s">
        <v>2660</v>
      </c>
      <c r="AO41" t="s">
        <v>2732</v>
      </c>
      <c r="AP41" t="s">
        <v>2778</v>
      </c>
      <c r="AQ41" t="s">
        <v>2844</v>
      </c>
      <c r="AR41" t="s">
        <v>2939</v>
      </c>
      <c r="AU41" t="s">
        <v>3236</v>
      </c>
      <c r="AW41" t="s">
        <v>3370</v>
      </c>
      <c r="AX41" t="s">
        <v>3425</v>
      </c>
    </row>
    <row r="42" spans="1:50" x14ac:dyDescent="0.25">
      <c r="A42" t="s">
        <v>43</v>
      </c>
      <c r="B42" t="s">
        <v>430</v>
      </c>
      <c r="E42" s="2" t="s">
        <v>530</v>
      </c>
      <c r="F42" t="s">
        <v>605</v>
      </c>
      <c r="G42" t="s">
        <v>663</v>
      </c>
      <c r="J42" t="s">
        <v>738</v>
      </c>
      <c r="K42" t="s">
        <v>805</v>
      </c>
      <c r="M42" t="s">
        <v>969</v>
      </c>
      <c r="N42" t="s">
        <v>1013</v>
      </c>
      <c r="O42" t="s">
        <v>1115</v>
      </c>
      <c r="P42" t="s">
        <v>1207</v>
      </c>
      <c r="Q42" t="s">
        <v>1306</v>
      </c>
      <c r="R42" t="s">
        <v>1411</v>
      </c>
      <c r="S42" t="s">
        <v>1531</v>
      </c>
      <c r="W42" t="s">
        <v>1649</v>
      </c>
      <c r="X42" t="s">
        <v>1732</v>
      </c>
      <c r="Y42" t="s">
        <v>1819</v>
      </c>
      <c r="Z42" t="s">
        <v>1901</v>
      </c>
      <c r="AA42" t="s">
        <v>2016</v>
      </c>
      <c r="AB42" t="s">
        <v>2072</v>
      </c>
      <c r="AG42" t="s">
        <v>2245</v>
      </c>
      <c r="AH42" t="s">
        <v>2307</v>
      </c>
      <c r="AI42" t="s">
        <v>2407</v>
      </c>
      <c r="AJ42" t="s">
        <v>2460</v>
      </c>
      <c r="AK42" t="s">
        <v>2548</v>
      </c>
      <c r="AM42" t="s">
        <v>2661</v>
      </c>
      <c r="AO42" t="s">
        <v>2733</v>
      </c>
      <c r="AP42" t="s">
        <v>2779</v>
      </c>
      <c r="AQ42" t="s">
        <v>2845</v>
      </c>
      <c r="AR42" t="s">
        <v>2940</v>
      </c>
      <c r="AU42" t="s">
        <v>3237</v>
      </c>
      <c r="AW42" t="s">
        <v>3371</v>
      </c>
      <c r="AX42" t="s">
        <v>3426</v>
      </c>
    </row>
    <row r="43" spans="1:50" x14ac:dyDescent="0.25">
      <c r="A43" t="s">
        <v>44</v>
      </c>
      <c r="B43" t="s">
        <v>431</v>
      </c>
      <c r="E43" s="2" t="s">
        <v>531</v>
      </c>
      <c r="F43" t="s">
        <v>606</v>
      </c>
      <c r="G43" t="s">
        <v>664</v>
      </c>
      <c r="J43" t="s">
        <v>739</v>
      </c>
      <c r="K43" t="s">
        <v>806</v>
      </c>
      <c r="M43" t="s">
        <v>970</v>
      </c>
      <c r="N43" t="s">
        <v>1014</v>
      </c>
      <c r="O43" t="s">
        <v>1116</v>
      </c>
      <c r="P43" t="s">
        <v>1208</v>
      </c>
      <c r="Q43" t="s">
        <v>1307</v>
      </c>
      <c r="R43" t="s">
        <v>1412</v>
      </c>
      <c r="S43" t="s">
        <v>1532</v>
      </c>
      <c r="W43" t="s">
        <v>1650</v>
      </c>
      <c r="X43" t="s">
        <v>1733</v>
      </c>
      <c r="Y43" t="s">
        <v>1820</v>
      </c>
      <c r="Z43" t="s">
        <v>1902</v>
      </c>
      <c r="AA43" t="s">
        <v>2017</v>
      </c>
      <c r="AB43" t="s">
        <v>2073</v>
      </c>
      <c r="AG43" t="s">
        <v>2246</v>
      </c>
      <c r="AH43" t="s">
        <v>2308</v>
      </c>
      <c r="AI43" t="s">
        <v>2408</v>
      </c>
      <c r="AJ43" t="s">
        <v>2461</v>
      </c>
      <c r="AK43" t="s">
        <v>2549</v>
      </c>
      <c r="AM43" t="s">
        <v>2662</v>
      </c>
      <c r="AO43" t="s">
        <v>2734</v>
      </c>
      <c r="AP43" t="s">
        <v>2780</v>
      </c>
      <c r="AQ43" t="s">
        <v>2846</v>
      </c>
      <c r="AR43" t="s">
        <v>2941</v>
      </c>
      <c r="AU43" t="s">
        <v>3238</v>
      </c>
      <c r="AW43" t="s">
        <v>3372</v>
      </c>
      <c r="AX43" t="s">
        <v>3427</v>
      </c>
    </row>
    <row r="44" spans="1:50" x14ac:dyDescent="0.25">
      <c r="A44" t="s">
        <v>45</v>
      </c>
      <c r="B44" t="s">
        <v>432</v>
      </c>
      <c r="E44" s="2" t="s">
        <v>532</v>
      </c>
      <c r="F44" t="s">
        <v>607</v>
      </c>
      <c r="G44" t="s">
        <v>665</v>
      </c>
      <c r="J44" t="s">
        <v>740</v>
      </c>
      <c r="K44" t="s">
        <v>807</v>
      </c>
      <c r="M44" t="s">
        <v>971</v>
      </c>
      <c r="N44" t="s">
        <v>1015</v>
      </c>
      <c r="O44" t="s">
        <v>1117</v>
      </c>
      <c r="P44" t="s">
        <v>1209</v>
      </c>
      <c r="Q44" t="s">
        <v>1308</v>
      </c>
      <c r="R44" t="s">
        <v>1413</v>
      </c>
      <c r="S44" t="s">
        <v>1533</v>
      </c>
      <c r="W44" t="s">
        <v>1651</v>
      </c>
      <c r="X44" t="s">
        <v>1734</v>
      </c>
      <c r="Y44" t="s">
        <v>1821</v>
      </c>
      <c r="Z44" t="s">
        <v>1903</v>
      </c>
      <c r="AA44" t="s">
        <v>2018</v>
      </c>
      <c r="AB44" t="s">
        <v>2074</v>
      </c>
      <c r="AG44" t="s">
        <v>2247</v>
      </c>
      <c r="AH44" t="s">
        <v>2309</v>
      </c>
      <c r="AI44" t="s">
        <v>2409</v>
      </c>
      <c r="AJ44" t="s">
        <v>2462</v>
      </c>
      <c r="AK44" t="s">
        <v>2550</v>
      </c>
      <c r="AM44" t="s">
        <v>2663</v>
      </c>
      <c r="AO44" t="s">
        <v>2735</v>
      </c>
      <c r="AP44" t="s">
        <v>2781</v>
      </c>
      <c r="AQ44" t="s">
        <v>2847</v>
      </c>
      <c r="AR44" t="s">
        <v>2942</v>
      </c>
      <c r="AU44" t="s">
        <v>3239</v>
      </c>
      <c r="AW44" t="s">
        <v>3373</v>
      </c>
      <c r="AX44" t="s">
        <v>3428</v>
      </c>
    </row>
    <row r="45" spans="1:50" x14ac:dyDescent="0.25">
      <c r="A45" t="s">
        <v>46</v>
      </c>
      <c r="B45" t="s">
        <v>433</v>
      </c>
      <c r="E45" s="2" t="s">
        <v>533</v>
      </c>
      <c r="F45" t="s">
        <v>608</v>
      </c>
      <c r="G45" t="s">
        <v>666</v>
      </c>
      <c r="J45" t="s">
        <v>741</v>
      </c>
      <c r="K45" t="s">
        <v>808</v>
      </c>
      <c r="M45" t="s">
        <v>972</v>
      </c>
      <c r="N45" t="s">
        <v>1016</v>
      </c>
      <c r="O45" t="s">
        <v>1118</v>
      </c>
      <c r="P45" t="s">
        <v>1210</v>
      </c>
      <c r="Q45" t="s">
        <v>1309</v>
      </c>
      <c r="R45" t="s">
        <v>1414</v>
      </c>
      <c r="S45" t="s">
        <v>1534</v>
      </c>
      <c r="W45" t="s">
        <v>1652</v>
      </c>
      <c r="X45" t="s">
        <v>1735</v>
      </c>
      <c r="Y45" t="s">
        <v>1822</v>
      </c>
      <c r="Z45" t="s">
        <v>1904</v>
      </c>
      <c r="AA45" t="s">
        <v>2019</v>
      </c>
      <c r="AB45" t="s">
        <v>2075</v>
      </c>
      <c r="AG45" t="s">
        <v>2248</v>
      </c>
      <c r="AH45" t="s">
        <v>2310</v>
      </c>
      <c r="AI45" t="s">
        <v>2410</v>
      </c>
      <c r="AJ45" t="s">
        <v>2463</v>
      </c>
      <c r="AK45" t="s">
        <v>2551</v>
      </c>
      <c r="AM45" t="s">
        <v>2664</v>
      </c>
      <c r="AO45" t="s">
        <v>2736</v>
      </c>
      <c r="AP45" t="s">
        <v>2782</v>
      </c>
      <c r="AQ45" t="s">
        <v>2848</v>
      </c>
      <c r="AR45" t="s">
        <v>2943</v>
      </c>
      <c r="AU45" t="s">
        <v>3240</v>
      </c>
      <c r="AW45" t="s">
        <v>3374</v>
      </c>
      <c r="AX45" t="s">
        <v>3429</v>
      </c>
    </row>
    <row r="46" spans="1:50" x14ac:dyDescent="0.25">
      <c r="A46" t="s">
        <v>47</v>
      </c>
      <c r="B46" t="s">
        <v>434</v>
      </c>
      <c r="E46" s="2" t="s">
        <v>534</v>
      </c>
      <c r="F46" t="s">
        <v>609</v>
      </c>
      <c r="G46" t="s">
        <v>667</v>
      </c>
      <c r="J46" t="s">
        <v>742</v>
      </c>
      <c r="K46" t="s">
        <v>809</v>
      </c>
      <c r="N46" t="s">
        <v>1017</v>
      </c>
      <c r="O46" t="s">
        <v>1119</v>
      </c>
      <c r="P46" t="s">
        <v>1211</v>
      </c>
      <c r="Q46" t="s">
        <v>1310</v>
      </c>
      <c r="R46" t="s">
        <v>1415</v>
      </c>
      <c r="S46" t="s">
        <v>1535</v>
      </c>
      <c r="W46" t="s">
        <v>1653</v>
      </c>
      <c r="X46" t="s">
        <v>1736</v>
      </c>
      <c r="Y46" t="s">
        <v>1823</v>
      </c>
      <c r="Z46" t="s">
        <v>1905</v>
      </c>
      <c r="AA46" t="s">
        <v>2020</v>
      </c>
      <c r="AB46" t="s">
        <v>2076</v>
      </c>
      <c r="AG46" t="s">
        <v>2249</v>
      </c>
      <c r="AH46" t="s">
        <v>2311</v>
      </c>
      <c r="AI46" t="s">
        <v>2411</v>
      </c>
      <c r="AJ46" t="s">
        <v>2464</v>
      </c>
      <c r="AK46" t="s">
        <v>2552</v>
      </c>
      <c r="AM46" t="s">
        <v>2665</v>
      </c>
      <c r="AO46" t="s">
        <v>2737</v>
      </c>
      <c r="AP46" t="s">
        <v>2783</v>
      </c>
      <c r="AQ46" t="s">
        <v>2849</v>
      </c>
      <c r="AR46" t="s">
        <v>2944</v>
      </c>
      <c r="AU46" t="s">
        <v>3241</v>
      </c>
      <c r="AW46" t="s">
        <v>3375</v>
      </c>
      <c r="AX46" t="s">
        <v>3430</v>
      </c>
    </row>
    <row r="47" spans="1:50" x14ac:dyDescent="0.25">
      <c r="A47" t="s">
        <v>48</v>
      </c>
      <c r="B47" t="s">
        <v>435</v>
      </c>
      <c r="E47" s="2" t="s">
        <v>535</v>
      </c>
      <c r="F47" t="s">
        <v>610</v>
      </c>
      <c r="G47" t="s">
        <v>668</v>
      </c>
      <c r="J47" t="s">
        <v>743</v>
      </c>
      <c r="K47" t="s">
        <v>810</v>
      </c>
      <c r="N47" t="s">
        <v>1018</v>
      </c>
      <c r="O47" t="s">
        <v>1120</v>
      </c>
      <c r="P47" t="s">
        <v>1212</v>
      </c>
      <c r="Q47" t="s">
        <v>1311</v>
      </c>
      <c r="R47" t="s">
        <v>1416</v>
      </c>
      <c r="S47" t="s">
        <v>1536</v>
      </c>
      <c r="W47" t="s">
        <v>1654</v>
      </c>
      <c r="X47" t="s">
        <v>1737</v>
      </c>
      <c r="Y47" t="s">
        <v>1824</v>
      </c>
      <c r="Z47" t="s">
        <v>1906</v>
      </c>
      <c r="AA47" t="s">
        <v>2021</v>
      </c>
      <c r="AB47" t="s">
        <v>2077</v>
      </c>
      <c r="AG47" t="s">
        <v>2250</v>
      </c>
      <c r="AH47" t="s">
        <v>2312</v>
      </c>
      <c r="AI47" t="s">
        <v>2412</v>
      </c>
      <c r="AJ47" t="s">
        <v>2465</v>
      </c>
      <c r="AK47" t="s">
        <v>2553</v>
      </c>
      <c r="AM47" t="s">
        <v>2666</v>
      </c>
      <c r="AO47" t="s">
        <v>2738</v>
      </c>
      <c r="AP47" t="s">
        <v>2784</v>
      </c>
      <c r="AQ47" t="s">
        <v>2850</v>
      </c>
      <c r="AR47" t="s">
        <v>2945</v>
      </c>
      <c r="AU47" t="s">
        <v>3242</v>
      </c>
      <c r="AW47" t="s">
        <v>3376</v>
      </c>
      <c r="AX47" t="s">
        <v>3431</v>
      </c>
    </row>
    <row r="48" spans="1:50" x14ac:dyDescent="0.25">
      <c r="A48" t="s">
        <v>49</v>
      </c>
      <c r="B48" t="s">
        <v>436</v>
      </c>
      <c r="E48" s="2" t="s">
        <v>536</v>
      </c>
      <c r="F48" t="s">
        <v>611</v>
      </c>
      <c r="G48" t="s">
        <v>669</v>
      </c>
      <c r="J48" t="s">
        <v>744</v>
      </c>
      <c r="K48" t="s">
        <v>811</v>
      </c>
      <c r="N48" t="s">
        <v>1019</v>
      </c>
      <c r="O48" t="s">
        <v>1121</v>
      </c>
      <c r="P48" t="s">
        <v>1213</v>
      </c>
      <c r="Q48" t="s">
        <v>1312</v>
      </c>
      <c r="R48" t="s">
        <v>1417</v>
      </c>
      <c r="S48" t="s">
        <v>1537</v>
      </c>
      <c r="W48" t="s">
        <v>1655</v>
      </c>
      <c r="X48" t="s">
        <v>1738</v>
      </c>
      <c r="Y48" t="s">
        <v>1825</v>
      </c>
      <c r="Z48" t="s">
        <v>1907</v>
      </c>
      <c r="AA48" t="s">
        <v>2022</v>
      </c>
      <c r="AB48" t="s">
        <v>2078</v>
      </c>
      <c r="AG48" t="s">
        <v>2251</v>
      </c>
      <c r="AH48" t="s">
        <v>2313</v>
      </c>
      <c r="AI48" t="s">
        <v>2413</v>
      </c>
      <c r="AJ48" t="s">
        <v>2466</v>
      </c>
      <c r="AK48" t="s">
        <v>2554</v>
      </c>
      <c r="AM48" t="s">
        <v>2667</v>
      </c>
      <c r="AP48" t="s">
        <v>2785</v>
      </c>
      <c r="AQ48" t="s">
        <v>2851</v>
      </c>
      <c r="AR48" t="s">
        <v>2946</v>
      </c>
      <c r="AU48" t="s">
        <v>3243</v>
      </c>
      <c r="AW48" t="s">
        <v>3377</v>
      </c>
      <c r="AX48" t="s">
        <v>3432</v>
      </c>
    </row>
    <row r="49" spans="1:50" x14ac:dyDescent="0.25">
      <c r="A49" t="s">
        <v>50</v>
      </c>
      <c r="B49" t="s">
        <v>437</v>
      </c>
      <c r="E49" s="2" t="s">
        <v>537</v>
      </c>
      <c r="F49" t="s">
        <v>612</v>
      </c>
      <c r="G49" t="s">
        <v>670</v>
      </c>
      <c r="J49" t="s">
        <v>745</v>
      </c>
      <c r="K49" t="s">
        <v>812</v>
      </c>
      <c r="N49" t="s">
        <v>1020</v>
      </c>
      <c r="O49" t="s">
        <v>1122</v>
      </c>
      <c r="P49" t="s">
        <v>1214</v>
      </c>
      <c r="Q49" t="s">
        <v>1313</v>
      </c>
      <c r="R49" t="s">
        <v>1418</v>
      </c>
      <c r="S49" t="s">
        <v>1538</v>
      </c>
      <c r="W49" t="s">
        <v>1656</v>
      </c>
      <c r="X49" t="s">
        <v>1739</v>
      </c>
      <c r="Y49" t="s">
        <v>1826</v>
      </c>
      <c r="Z49" t="s">
        <v>1908</v>
      </c>
      <c r="AA49" t="s">
        <v>2023</v>
      </c>
      <c r="AB49" t="s">
        <v>2079</v>
      </c>
      <c r="AG49" t="s">
        <v>2252</v>
      </c>
      <c r="AH49" t="s">
        <v>2314</v>
      </c>
      <c r="AI49" t="s">
        <v>2414</v>
      </c>
      <c r="AJ49" t="s">
        <v>2467</v>
      </c>
      <c r="AK49" t="s">
        <v>2555</v>
      </c>
      <c r="AM49" t="s">
        <v>2668</v>
      </c>
      <c r="AP49" t="s">
        <v>2786</v>
      </c>
      <c r="AQ49" t="s">
        <v>2852</v>
      </c>
      <c r="AR49" t="s">
        <v>2947</v>
      </c>
      <c r="AU49" t="s">
        <v>3244</v>
      </c>
      <c r="AW49" t="s">
        <v>3378</v>
      </c>
      <c r="AX49" t="s">
        <v>3433</v>
      </c>
    </row>
    <row r="50" spans="1:50" x14ac:dyDescent="0.25">
      <c r="A50" t="s">
        <v>51</v>
      </c>
      <c r="B50" t="s">
        <v>438</v>
      </c>
      <c r="E50" s="2" t="s">
        <v>538</v>
      </c>
      <c r="F50" t="s">
        <v>613</v>
      </c>
      <c r="G50" t="s">
        <v>671</v>
      </c>
      <c r="J50" t="s">
        <v>746</v>
      </c>
      <c r="K50" t="s">
        <v>813</v>
      </c>
      <c r="N50" t="s">
        <v>1021</v>
      </c>
      <c r="O50" t="s">
        <v>1123</v>
      </c>
      <c r="P50" t="s">
        <v>1215</v>
      </c>
      <c r="Q50" t="s">
        <v>1314</v>
      </c>
      <c r="R50" t="s">
        <v>1419</v>
      </c>
      <c r="S50" t="s">
        <v>1539</v>
      </c>
      <c r="W50" t="s">
        <v>1657</v>
      </c>
      <c r="X50" t="s">
        <v>1740</v>
      </c>
      <c r="Y50" t="s">
        <v>1827</v>
      </c>
      <c r="Z50" t="s">
        <v>1909</v>
      </c>
      <c r="AA50" t="s">
        <v>2024</v>
      </c>
      <c r="AB50" t="s">
        <v>2080</v>
      </c>
      <c r="AG50" t="s">
        <v>2253</v>
      </c>
      <c r="AH50" t="s">
        <v>2315</v>
      </c>
      <c r="AI50" t="s">
        <v>2415</v>
      </c>
      <c r="AJ50" t="s">
        <v>2468</v>
      </c>
      <c r="AK50" t="s">
        <v>2556</v>
      </c>
      <c r="AM50" t="s">
        <v>2669</v>
      </c>
      <c r="AP50" t="s">
        <v>2787</v>
      </c>
      <c r="AQ50" t="s">
        <v>2853</v>
      </c>
      <c r="AR50" t="s">
        <v>2948</v>
      </c>
      <c r="AU50" t="s">
        <v>3245</v>
      </c>
      <c r="AW50" t="s">
        <v>3379</v>
      </c>
      <c r="AX50" t="s">
        <v>3434</v>
      </c>
    </row>
    <row r="51" spans="1:50" x14ac:dyDescent="0.25">
      <c r="A51" t="s">
        <v>52</v>
      </c>
      <c r="B51" t="s">
        <v>439</v>
      </c>
      <c r="E51" s="2" t="s">
        <v>539</v>
      </c>
      <c r="F51" t="s">
        <v>614</v>
      </c>
      <c r="G51" t="s">
        <v>672</v>
      </c>
      <c r="J51" t="s">
        <v>747</v>
      </c>
      <c r="K51" t="s">
        <v>814</v>
      </c>
      <c r="N51" t="s">
        <v>1022</v>
      </c>
      <c r="O51" t="s">
        <v>1124</v>
      </c>
      <c r="P51" t="s">
        <v>1216</v>
      </c>
      <c r="Q51" t="s">
        <v>1315</v>
      </c>
      <c r="R51" t="s">
        <v>1420</v>
      </c>
      <c r="S51" t="s">
        <v>1540</v>
      </c>
      <c r="W51" t="s">
        <v>1658</v>
      </c>
      <c r="X51" t="s">
        <v>1741</v>
      </c>
      <c r="Y51" t="s">
        <v>1828</v>
      </c>
      <c r="Z51" t="s">
        <v>1910</v>
      </c>
      <c r="AA51" t="s">
        <v>2025</v>
      </c>
      <c r="AB51" t="s">
        <v>2081</v>
      </c>
      <c r="AG51" t="s">
        <v>2254</v>
      </c>
      <c r="AH51" t="s">
        <v>2316</v>
      </c>
      <c r="AI51" t="s">
        <v>2416</v>
      </c>
      <c r="AJ51" t="s">
        <v>2469</v>
      </c>
      <c r="AK51" t="s">
        <v>2557</v>
      </c>
      <c r="AM51" t="s">
        <v>2670</v>
      </c>
      <c r="AP51" t="s">
        <v>2788</v>
      </c>
      <c r="AQ51" t="s">
        <v>2854</v>
      </c>
      <c r="AR51" t="s">
        <v>2949</v>
      </c>
      <c r="AU51" t="s">
        <v>3246</v>
      </c>
      <c r="AW51" t="s">
        <v>3380</v>
      </c>
      <c r="AX51" t="s">
        <v>3435</v>
      </c>
    </row>
    <row r="52" spans="1:50" x14ac:dyDescent="0.25">
      <c r="B52" t="s">
        <v>440</v>
      </c>
      <c r="E52" s="2" t="s">
        <v>540</v>
      </c>
      <c r="F52" t="s">
        <v>615</v>
      </c>
      <c r="G52" t="s">
        <v>673</v>
      </c>
      <c r="J52" t="s">
        <v>748</v>
      </c>
      <c r="K52" t="s">
        <v>815</v>
      </c>
      <c r="N52" t="s">
        <v>1023</v>
      </c>
      <c r="O52" t="s">
        <v>1125</v>
      </c>
      <c r="P52" t="s">
        <v>1217</v>
      </c>
      <c r="Q52" t="s">
        <v>1316</v>
      </c>
      <c r="R52" t="s">
        <v>1421</v>
      </c>
      <c r="S52" t="s">
        <v>1541</v>
      </c>
      <c r="W52" t="s">
        <v>1659</v>
      </c>
      <c r="X52" t="s">
        <v>1742</v>
      </c>
      <c r="Y52" t="s">
        <v>1829</v>
      </c>
      <c r="Z52" t="s">
        <v>1911</v>
      </c>
      <c r="AA52" t="s">
        <v>2026</v>
      </c>
      <c r="AB52" t="s">
        <v>2082</v>
      </c>
      <c r="AG52" t="s">
        <v>2255</v>
      </c>
      <c r="AH52" t="s">
        <v>2317</v>
      </c>
      <c r="AI52" t="s">
        <v>2417</v>
      </c>
      <c r="AJ52" t="s">
        <v>2470</v>
      </c>
      <c r="AK52" t="s">
        <v>2558</v>
      </c>
      <c r="AM52" t="s">
        <v>2671</v>
      </c>
      <c r="AP52" t="s">
        <v>2789</v>
      </c>
      <c r="AQ52" t="s">
        <v>2855</v>
      </c>
      <c r="AR52" t="s">
        <v>2950</v>
      </c>
      <c r="AU52" t="s">
        <v>3247</v>
      </c>
      <c r="AW52" t="s">
        <v>3381</v>
      </c>
      <c r="AX52" t="s">
        <v>3436</v>
      </c>
    </row>
    <row r="53" spans="1:50" x14ac:dyDescent="0.25">
      <c r="B53" t="s">
        <v>441</v>
      </c>
      <c r="E53" s="2" t="s">
        <v>541</v>
      </c>
      <c r="F53" t="s">
        <v>616</v>
      </c>
      <c r="G53" t="s">
        <v>674</v>
      </c>
      <c r="J53" t="s">
        <v>749</v>
      </c>
      <c r="K53" t="s">
        <v>816</v>
      </c>
      <c r="N53" t="s">
        <v>1024</v>
      </c>
      <c r="O53" t="s">
        <v>1126</v>
      </c>
      <c r="P53" t="s">
        <v>1218</v>
      </c>
      <c r="Q53" t="s">
        <v>1317</v>
      </c>
      <c r="R53" t="s">
        <v>1422</v>
      </c>
      <c r="S53" t="s">
        <v>1542</v>
      </c>
      <c r="W53" t="s">
        <v>1660</v>
      </c>
      <c r="X53" t="s">
        <v>1743</v>
      </c>
      <c r="Y53" t="s">
        <v>1830</v>
      </c>
      <c r="Z53" t="s">
        <v>1912</v>
      </c>
      <c r="AA53" t="s">
        <v>2027</v>
      </c>
      <c r="AB53" t="s">
        <v>2083</v>
      </c>
      <c r="AG53" t="s">
        <v>2256</v>
      </c>
      <c r="AH53" t="s">
        <v>2318</v>
      </c>
      <c r="AI53" t="s">
        <v>2418</v>
      </c>
      <c r="AJ53" t="s">
        <v>2471</v>
      </c>
      <c r="AK53" t="s">
        <v>2559</v>
      </c>
      <c r="AM53" t="s">
        <v>2672</v>
      </c>
      <c r="AP53" t="s">
        <v>2790</v>
      </c>
      <c r="AQ53" t="s">
        <v>2856</v>
      </c>
      <c r="AR53" t="s">
        <v>2951</v>
      </c>
      <c r="AU53" t="s">
        <v>3248</v>
      </c>
      <c r="AW53" t="s">
        <v>3382</v>
      </c>
      <c r="AX53" t="s">
        <v>3437</v>
      </c>
    </row>
    <row r="54" spans="1:50" x14ac:dyDescent="0.25">
      <c r="B54" t="s">
        <v>442</v>
      </c>
      <c r="E54" s="2" t="s">
        <v>542</v>
      </c>
      <c r="F54" t="s">
        <v>617</v>
      </c>
      <c r="G54" t="s">
        <v>675</v>
      </c>
      <c r="J54" t="s">
        <v>750</v>
      </c>
      <c r="K54" t="s">
        <v>817</v>
      </c>
      <c r="N54" t="s">
        <v>1025</v>
      </c>
      <c r="O54" t="s">
        <v>1127</v>
      </c>
      <c r="P54" t="s">
        <v>1219</v>
      </c>
      <c r="Q54" t="s">
        <v>1318</v>
      </c>
      <c r="R54" t="s">
        <v>1423</v>
      </c>
      <c r="S54" t="s">
        <v>1543</v>
      </c>
      <c r="W54" t="s">
        <v>1661</v>
      </c>
      <c r="X54" t="s">
        <v>1744</v>
      </c>
      <c r="Y54" t="s">
        <v>1831</v>
      </c>
      <c r="Z54" t="s">
        <v>1913</v>
      </c>
      <c r="AA54" t="s">
        <v>2028</v>
      </c>
      <c r="AB54" t="s">
        <v>2084</v>
      </c>
      <c r="AG54" t="s">
        <v>2257</v>
      </c>
      <c r="AH54" t="s">
        <v>2319</v>
      </c>
      <c r="AI54" t="s">
        <v>2419</v>
      </c>
      <c r="AJ54" t="s">
        <v>2472</v>
      </c>
      <c r="AK54" t="s">
        <v>2560</v>
      </c>
      <c r="AM54" t="s">
        <v>2673</v>
      </c>
      <c r="AP54" t="s">
        <v>2791</v>
      </c>
      <c r="AQ54" t="s">
        <v>2857</v>
      </c>
      <c r="AR54" t="s">
        <v>2952</v>
      </c>
      <c r="AU54" t="s">
        <v>3249</v>
      </c>
      <c r="AW54" t="s">
        <v>3383</v>
      </c>
      <c r="AX54" t="s">
        <v>3438</v>
      </c>
    </row>
    <row r="55" spans="1:50" x14ac:dyDescent="0.25">
      <c r="B55" t="s">
        <v>443</v>
      </c>
      <c r="E55" s="2" t="s">
        <v>543</v>
      </c>
      <c r="F55" t="s">
        <v>618</v>
      </c>
      <c r="G55" t="s">
        <v>676</v>
      </c>
      <c r="J55" t="s">
        <v>751</v>
      </c>
      <c r="K55" t="s">
        <v>818</v>
      </c>
      <c r="N55" t="s">
        <v>1026</v>
      </c>
      <c r="O55" t="s">
        <v>1128</v>
      </c>
      <c r="P55" t="s">
        <v>1220</v>
      </c>
      <c r="Q55" t="s">
        <v>1319</v>
      </c>
      <c r="R55" t="s">
        <v>1424</v>
      </c>
      <c r="S55" t="s">
        <v>1544</v>
      </c>
      <c r="W55" t="s">
        <v>1662</v>
      </c>
      <c r="X55" t="s">
        <v>1745</v>
      </c>
      <c r="Y55" t="s">
        <v>1832</v>
      </c>
      <c r="Z55" t="s">
        <v>1914</v>
      </c>
      <c r="AA55" t="s">
        <v>2029</v>
      </c>
      <c r="AB55" t="s">
        <v>2085</v>
      </c>
      <c r="AG55" t="s">
        <v>2258</v>
      </c>
      <c r="AH55" t="s">
        <v>2320</v>
      </c>
      <c r="AJ55" t="s">
        <v>2473</v>
      </c>
      <c r="AK55" t="s">
        <v>2561</v>
      </c>
      <c r="AM55" t="s">
        <v>2674</v>
      </c>
      <c r="AP55" t="s">
        <v>2792</v>
      </c>
      <c r="AQ55" t="s">
        <v>2858</v>
      </c>
      <c r="AR55" t="s">
        <v>2953</v>
      </c>
      <c r="AU55" t="s">
        <v>3250</v>
      </c>
      <c r="AW55" t="s">
        <v>3384</v>
      </c>
      <c r="AX55" t="s">
        <v>3439</v>
      </c>
    </row>
    <row r="56" spans="1:50" x14ac:dyDescent="0.25">
      <c r="B56" t="s">
        <v>444</v>
      </c>
      <c r="E56" s="2" t="s">
        <v>544</v>
      </c>
      <c r="F56" t="s">
        <v>619</v>
      </c>
      <c r="G56" t="s">
        <v>677</v>
      </c>
      <c r="J56" t="s">
        <v>752</v>
      </c>
      <c r="K56" t="s">
        <v>819</v>
      </c>
      <c r="N56" t="s">
        <v>1027</v>
      </c>
      <c r="O56" t="s">
        <v>1129</v>
      </c>
      <c r="P56" t="s">
        <v>1221</v>
      </c>
      <c r="Q56" t="s">
        <v>1320</v>
      </c>
      <c r="R56" t="s">
        <v>1425</v>
      </c>
      <c r="S56" t="s">
        <v>1545</v>
      </c>
      <c r="W56" t="s">
        <v>1663</v>
      </c>
      <c r="X56" t="s">
        <v>1746</v>
      </c>
      <c r="Y56" t="s">
        <v>1833</v>
      </c>
      <c r="Z56" t="s">
        <v>1915</v>
      </c>
      <c r="AA56" t="s">
        <v>2030</v>
      </c>
      <c r="AB56" t="s">
        <v>2086</v>
      </c>
      <c r="AG56" t="s">
        <v>2259</v>
      </c>
      <c r="AH56" t="s">
        <v>2321</v>
      </c>
      <c r="AJ56" t="s">
        <v>2474</v>
      </c>
      <c r="AK56" t="s">
        <v>2562</v>
      </c>
      <c r="AM56" t="s">
        <v>2675</v>
      </c>
      <c r="AP56" t="s">
        <v>2793</v>
      </c>
      <c r="AQ56" t="s">
        <v>2859</v>
      </c>
      <c r="AR56" t="s">
        <v>2954</v>
      </c>
      <c r="AU56" t="s">
        <v>3251</v>
      </c>
      <c r="AW56" t="s">
        <v>3385</v>
      </c>
      <c r="AX56" t="s">
        <v>3440</v>
      </c>
    </row>
    <row r="57" spans="1:50" x14ac:dyDescent="0.25">
      <c r="B57" t="s">
        <v>445</v>
      </c>
      <c r="E57" s="2" t="s">
        <v>545</v>
      </c>
      <c r="F57" t="s">
        <v>620</v>
      </c>
      <c r="G57" t="s">
        <v>678</v>
      </c>
      <c r="J57" t="s">
        <v>753</v>
      </c>
      <c r="K57" t="s">
        <v>820</v>
      </c>
      <c r="N57" t="s">
        <v>1028</v>
      </c>
      <c r="O57" t="s">
        <v>1130</v>
      </c>
      <c r="P57" t="s">
        <v>1222</v>
      </c>
      <c r="Q57" t="s">
        <v>1321</v>
      </c>
      <c r="R57" t="s">
        <v>1426</v>
      </c>
      <c r="S57" t="s">
        <v>1546</v>
      </c>
      <c r="W57" t="s">
        <v>1664</v>
      </c>
      <c r="X57" t="s">
        <v>1747</v>
      </c>
      <c r="Y57" t="s">
        <v>1834</v>
      </c>
      <c r="Z57" t="s">
        <v>1916</v>
      </c>
      <c r="AA57" t="s">
        <v>2031</v>
      </c>
      <c r="AB57" t="s">
        <v>2087</v>
      </c>
      <c r="AG57" t="s">
        <v>2260</v>
      </c>
      <c r="AH57" t="s">
        <v>2322</v>
      </c>
      <c r="AJ57" t="s">
        <v>2475</v>
      </c>
      <c r="AK57" t="s">
        <v>2563</v>
      </c>
      <c r="AM57" t="s">
        <v>2676</v>
      </c>
      <c r="AP57" t="s">
        <v>2794</v>
      </c>
      <c r="AQ57" t="s">
        <v>2860</v>
      </c>
      <c r="AR57" t="s">
        <v>2955</v>
      </c>
      <c r="AU57" t="s">
        <v>3252</v>
      </c>
      <c r="AX57" t="s">
        <v>3441</v>
      </c>
    </row>
    <row r="58" spans="1:50" x14ac:dyDescent="0.25">
      <c r="B58" t="s">
        <v>446</v>
      </c>
      <c r="E58" s="2" t="s">
        <v>546</v>
      </c>
      <c r="F58" t="s">
        <v>621</v>
      </c>
      <c r="G58" t="s">
        <v>679</v>
      </c>
      <c r="J58" t="s">
        <v>754</v>
      </c>
      <c r="K58" t="s">
        <v>821</v>
      </c>
      <c r="N58" t="s">
        <v>1029</v>
      </c>
      <c r="O58" t="s">
        <v>1131</v>
      </c>
      <c r="P58" t="s">
        <v>1223</v>
      </c>
      <c r="Q58" t="s">
        <v>1322</v>
      </c>
      <c r="R58" t="s">
        <v>1427</v>
      </c>
      <c r="S58" t="s">
        <v>1547</v>
      </c>
      <c r="W58" t="s">
        <v>1665</v>
      </c>
      <c r="X58" t="s">
        <v>1748</v>
      </c>
      <c r="Y58" t="s">
        <v>1835</v>
      </c>
      <c r="Z58" t="s">
        <v>1917</v>
      </c>
      <c r="AB58" t="s">
        <v>2088</v>
      </c>
      <c r="AG58" t="s">
        <v>2261</v>
      </c>
      <c r="AH58" t="s">
        <v>2323</v>
      </c>
      <c r="AJ58" t="s">
        <v>2476</v>
      </c>
      <c r="AK58" t="s">
        <v>2564</v>
      </c>
      <c r="AM58" t="s">
        <v>2677</v>
      </c>
      <c r="AP58" t="s">
        <v>2795</v>
      </c>
      <c r="AQ58" t="s">
        <v>2861</v>
      </c>
      <c r="AR58" t="s">
        <v>2956</v>
      </c>
      <c r="AU58" t="s">
        <v>3253</v>
      </c>
      <c r="AX58" t="s">
        <v>3442</v>
      </c>
    </row>
    <row r="59" spans="1:50" x14ac:dyDescent="0.25">
      <c r="B59" t="s">
        <v>447</v>
      </c>
      <c r="E59" s="2" t="s">
        <v>547</v>
      </c>
      <c r="F59" t="s">
        <v>622</v>
      </c>
      <c r="G59" t="s">
        <v>680</v>
      </c>
      <c r="J59" t="s">
        <v>755</v>
      </c>
      <c r="K59" t="s">
        <v>822</v>
      </c>
      <c r="N59" t="s">
        <v>1030</v>
      </c>
      <c r="O59" t="s">
        <v>1132</v>
      </c>
      <c r="P59" t="s">
        <v>1224</v>
      </c>
      <c r="Q59" t="s">
        <v>1323</v>
      </c>
      <c r="R59" t="s">
        <v>1428</v>
      </c>
      <c r="S59" t="s">
        <v>1548</v>
      </c>
      <c r="W59" t="s">
        <v>1666</v>
      </c>
      <c r="X59" t="s">
        <v>1749</v>
      </c>
      <c r="Y59" t="s">
        <v>1836</v>
      </c>
      <c r="Z59" t="s">
        <v>1918</v>
      </c>
      <c r="AB59" t="s">
        <v>2089</v>
      </c>
      <c r="AG59" t="s">
        <v>2262</v>
      </c>
      <c r="AH59" t="s">
        <v>2324</v>
      </c>
      <c r="AJ59" t="s">
        <v>2477</v>
      </c>
      <c r="AK59" t="s">
        <v>2565</v>
      </c>
      <c r="AM59" t="s">
        <v>2678</v>
      </c>
      <c r="AP59" t="s">
        <v>2796</v>
      </c>
      <c r="AQ59" t="s">
        <v>2862</v>
      </c>
      <c r="AR59" t="s">
        <v>2957</v>
      </c>
      <c r="AU59" t="s">
        <v>3254</v>
      </c>
      <c r="AX59" t="s">
        <v>3443</v>
      </c>
    </row>
    <row r="60" spans="1:50" x14ac:dyDescent="0.25">
      <c r="B60" t="s">
        <v>448</v>
      </c>
      <c r="E60" s="2" t="s">
        <v>548</v>
      </c>
      <c r="G60" t="s">
        <v>681</v>
      </c>
      <c r="J60" t="s">
        <v>756</v>
      </c>
      <c r="K60" t="s">
        <v>823</v>
      </c>
      <c r="N60" t="s">
        <v>1031</v>
      </c>
      <c r="O60" t="s">
        <v>1133</v>
      </c>
      <c r="P60" t="s">
        <v>1225</v>
      </c>
      <c r="Q60" t="s">
        <v>1324</v>
      </c>
      <c r="R60" t="s">
        <v>1429</v>
      </c>
      <c r="S60" t="s">
        <v>1549</v>
      </c>
      <c r="W60" t="s">
        <v>1667</v>
      </c>
      <c r="X60" t="s">
        <v>1750</v>
      </c>
      <c r="Y60" t="s">
        <v>1837</v>
      </c>
      <c r="Z60" t="s">
        <v>1919</v>
      </c>
      <c r="AB60" t="s">
        <v>2090</v>
      </c>
      <c r="AG60" t="s">
        <v>2263</v>
      </c>
      <c r="AH60" t="s">
        <v>2325</v>
      </c>
      <c r="AJ60" t="s">
        <v>2478</v>
      </c>
      <c r="AK60" t="s">
        <v>2566</v>
      </c>
      <c r="AM60" t="s">
        <v>2679</v>
      </c>
      <c r="AP60" t="s">
        <v>2797</v>
      </c>
      <c r="AQ60" t="s">
        <v>2863</v>
      </c>
      <c r="AR60" t="s">
        <v>2958</v>
      </c>
      <c r="AU60" t="s">
        <v>3255</v>
      </c>
      <c r="AX60" t="s">
        <v>3444</v>
      </c>
    </row>
    <row r="61" spans="1:50" x14ac:dyDescent="0.25">
      <c r="B61" t="s">
        <v>449</v>
      </c>
      <c r="E61" s="2" t="s">
        <v>549</v>
      </c>
      <c r="G61" t="s">
        <v>682</v>
      </c>
      <c r="J61" t="s">
        <v>757</v>
      </c>
      <c r="K61" t="s">
        <v>824</v>
      </c>
      <c r="N61" t="s">
        <v>1032</v>
      </c>
      <c r="O61" t="s">
        <v>1134</v>
      </c>
      <c r="P61" t="s">
        <v>1226</v>
      </c>
      <c r="Q61" t="s">
        <v>1325</v>
      </c>
      <c r="R61" t="s">
        <v>1430</v>
      </c>
      <c r="S61" t="s">
        <v>1550</v>
      </c>
      <c r="W61" t="s">
        <v>1668</v>
      </c>
      <c r="X61" t="s">
        <v>1751</v>
      </c>
      <c r="Y61" t="s">
        <v>1838</v>
      </c>
      <c r="Z61" t="s">
        <v>1920</v>
      </c>
      <c r="AB61" t="s">
        <v>2091</v>
      </c>
      <c r="AG61" t="s">
        <v>2264</v>
      </c>
      <c r="AH61" t="s">
        <v>2326</v>
      </c>
      <c r="AJ61" t="s">
        <v>2479</v>
      </c>
      <c r="AK61" t="s">
        <v>2567</v>
      </c>
      <c r="AM61" t="s">
        <v>2680</v>
      </c>
      <c r="AP61" t="s">
        <v>2798</v>
      </c>
      <c r="AQ61" t="s">
        <v>2864</v>
      </c>
      <c r="AR61" t="s">
        <v>2959</v>
      </c>
      <c r="AU61" t="s">
        <v>3256</v>
      </c>
      <c r="AX61" t="s">
        <v>3445</v>
      </c>
    </row>
    <row r="62" spans="1:50" x14ac:dyDescent="0.25">
      <c r="B62" t="s">
        <v>450</v>
      </c>
      <c r="E62" s="2" t="s">
        <v>550</v>
      </c>
      <c r="G62" t="s">
        <v>683</v>
      </c>
      <c r="J62" t="s">
        <v>758</v>
      </c>
      <c r="K62" t="s">
        <v>825</v>
      </c>
      <c r="N62" t="s">
        <v>1033</v>
      </c>
      <c r="O62" t="s">
        <v>1135</v>
      </c>
      <c r="P62" t="s">
        <v>1227</v>
      </c>
      <c r="Q62" t="s">
        <v>1326</v>
      </c>
      <c r="R62" t="s">
        <v>1431</v>
      </c>
      <c r="S62" t="s">
        <v>1551</v>
      </c>
      <c r="W62" t="s">
        <v>1669</v>
      </c>
      <c r="X62" t="s">
        <v>1752</v>
      </c>
      <c r="Y62" t="s">
        <v>1839</v>
      </c>
      <c r="Z62" t="s">
        <v>1921</v>
      </c>
      <c r="AB62" t="s">
        <v>2092</v>
      </c>
      <c r="AG62" t="s">
        <v>2265</v>
      </c>
      <c r="AH62" t="s">
        <v>2327</v>
      </c>
      <c r="AJ62" t="s">
        <v>2480</v>
      </c>
      <c r="AK62" t="s">
        <v>2568</v>
      </c>
      <c r="AM62" t="s">
        <v>2681</v>
      </c>
      <c r="AP62" t="s">
        <v>2799</v>
      </c>
      <c r="AQ62" t="s">
        <v>2865</v>
      </c>
      <c r="AR62" t="s">
        <v>2960</v>
      </c>
      <c r="AU62" t="s">
        <v>3257</v>
      </c>
      <c r="AX62" t="s">
        <v>3446</v>
      </c>
    </row>
    <row r="63" spans="1:50" x14ac:dyDescent="0.25">
      <c r="B63" t="s">
        <v>451</v>
      </c>
      <c r="E63" s="2" t="s">
        <v>551</v>
      </c>
      <c r="G63" t="s">
        <v>684</v>
      </c>
      <c r="J63" t="s">
        <v>759</v>
      </c>
      <c r="K63" t="s">
        <v>826</v>
      </c>
      <c r="N63" t="s">
        <v>1034</v>
      </c>
      <c r="O63" t="s">
        <v>1136</v>
      </c>
      <c r="P63" t="s">
        <v>1228</v>
      </c>
      <c r="Q63" t="s">
        <v>1327</v>
      </c>
      <c r="R63" t="s">
        <v>1432</v>
      </c>
      <c r="S63" t="s">
        <v>1552</v>
      </c>
      <c r="W63" t="s">
        <v>1670</v>
      </c>
      <c r="X63" t="s">
        <v>1753</v>
      </c>
      <c r="Y63" t="s">
        <v>1840</v>
      </c>
      <c r="Z63" t="s">
        <v>1922</v>
      </c>
      <c r="AB63" t="s">
        <v>2093</v>
      </c>
      <c r="AG63" t="s">
        <v>2266</v>
      </c>
      <c r="AH63" t="s">
        <v>2328</v>
      </c>
      <c r="AJ63" t="s">
        <v>2481</v>
      </c>
      <c r="AK63" t="s">
        <v>2569</v>
      </c>
      <c r="AM63" t="s">
        <v>2682</v>
      </c>
      <c r="AP63" t="s">
        <v>2800</v>
      </c>
      <c r="AQ63" t="s">
        <v>2866</v>
      </c>
      <c r="AR63" t="s">
        <v>2961</v>
      </c>
      <c r="AU63" t="s">
        <v>3258</v>
      </c>
      <c r="AX63" t="s">
        <v>3447</v>
      </c>
    </row>
    <row r="64" spans="1:50" x14ac:dyDescent="0.25">
      <c r="B64" t="s">
        <v>452</v>
      </c>
      <c r="E64" s="2" t="s">
        <v>552</v>
      </c>
      <c r="G64" t="s">
        <v>685</v>
      </c>
      <c r="J64" t="s">
        <v>760</v>
      </c>
      <c r="K64" t="s">
        <v>827</v>
      </c>
      <c r="N64" t="s">
        <v>1035</v>
      </c>
      <c r="O64" t="s">
        <v>1137</v>
      </c>
      <c r="P64" t="s">
        <v>1229</v>
      </c>
      <c r="Q64" t="s">
        <v>1328</v>
      </c>
      <c r="R64" t="s">
        <v>1433</v>
      </c>
      <c r="S64" t="s">
        <v>1553</v>
      </c>
      <c r="W64" t="s">
        <v>1671</v>
      </c>
      <c r="X64" t="s">
        <v>1754</v>
      </c>
      <c r="Y64" t="s">
        <v>1841</v>
      </c>
      <c r="Z64" t="s">
        <v>1923</v>
      </c>
      <c r="AB64" t="s">
        <v>2094</v>
      </c>
      <c r="AH64" t="s">
        <v>2329</v>
      </c>
      <c r="AJ64" t="s">
        <v>2482</v>
      </c>
      <c r="AK64" t="s">
        <v>2570</v>
      </c>
      <c r="AM64" t="s">
        <v>2683</v>
      </c>
      <c r="AP64" t="s">
        <v>2801</v>
      </c>
      <c r="AQ64" t="s">
        <v>2867</v>
      </c>
      <c r="AR64" t="s">
        <v>2962</v>
      </c>
      <c r="AU64" t="s">
        <v>3259</v>
      </c>
      <c r="AX64" t="s">
        <v>3448</v>
      </c>
    </row>
    <row r="65" spans="2:50" x14ac:dyDescent="0.25">
      <c r="B65" t="s">
        <v>453</v>
      </c>
      <c r="E65" s="2" t="s">
        <v>553</v>
      </c>
      <c r="G65" t="s">
        <v>686</v>
      </c>
      <c r="J65" t="s">
        <v>761</v>
      </c>
      <c r="K65" t="s">
        <v>828</v>
      </c>
      <c r="N65" t="s">
        <v>1036</v>
      </c>
      <c r="O65" t="s">
        <v>1138</v>
      </c>
      <c r="P65" t="s">
        <v>1230</v>
      </c>
      <c r="Q65" t="s">
        <v>1329</v>
      </c>
      <c r="R65" t="s">
        <v>1434</v>
      </c>
      <c r="S65" t="s">
        <v>1554</v>
      </c>
      <c r="W65" t="s">
        <v>1672</v>
      </c>
      <c r="X65" t="s">
        <v>1755</v>
      </c>
      <c r="Y65" t="s">
        <v>1842</v>
      </c>
      <c r="Z65" t="s">
        <v>1924</v>
      </c>
      <c r="AB65" t="s">
        <v>2095</v>
      </c>
      <c r="AH65" t="s">
        <v>2330</v>
      </c>
      <c r="AJ65" t="s">
        <v>2483</v>
      </c>
      <c r="AK65" t="s">
        <v>2571</v>
      </c>
      <c r="AM65" t="s">
        <v>2684</v>
      </c>
      <c r="AP65" t="s">
        <v>2802</v>
      </c>
      <c r="AQ65" t="s">
        <v>2868</v>
      </c>
      <c r="AR65" t="s">
        <v>2963</v>
      </c>
      <c r="AU65" t="s">
        <v>3260</v>
      </c>
      <c r="AX65" t="s">
        <v>3449</v>
      </c>
    </row>
    <row r="66" spans="2:50" x14ac:dyDescent="0.25">
      <c r="B66" t="s">
        <v>454</v>
      </c>
      <c r="E66" s="2" t="s">
        <v>554</v>
      </c>
      <c r="J66" t="s">
        <v>762</v>
      </c>
      <c r="K66" t="s">
        <v>829</v>
      </c>
      <c r="N66" t="s">
        <v>1037</v>
      </c>
      <c r="O66" t="s">
        <v>1139</v>
      </c>
      <c r="P66" t="s">
        <v>1231</v>
      </c>
      <c r="Q66" t="s">
        <v>1330</v>
      </c>
      <c r="R66" t="s">
        <v>1435</v>
      </c>
      <c r="W66" t="s">
        <v>1673</v>
      </c>
      <c r="X66" t="s">
        <v>1756</v>
      </c>
      <c r="Y66" t="s">
        <v>1843</v>
      </c>
      <c r="Z66" t="s">
        <v>1925</v>
      </c>
      <c r="AB66" t="s">
        <v>2096</v>
      </c>
      <c r="AH66" t="s">
        <v>2331</v>
      </c>
      <c r="AJ66" t="s">
        <v>2484</v>
      </c>
      <c r="AK66" t="s">
        <v>2572</v>
      </c>
      <c r="AM66" t="s">
        <v>2685</v>
      </c>
      <c r="AP66" t="s">
        <v>2803</v>
      </c>
      <c r="AQ66" t="s">
        <v>2869</v>
      </c>
      <c r="AR66" t="s">
        <v>2964</v>
      </c>
      <c r="AU66" t="s">
        <v>3261</v>
      </c>
      <c r="AX66" t="s">
        <v>3450</v>
      </c>
    </row>
    <row r="67" spans="2:50" x14ac:dyDescent="0.25">
      <c r="B67" t="s">
        <v>455</v>
      </c>
      <c r="E67" s="2" t="s">
        <v>555</v>
      </c>
      <c r="J67" t="s">
        <v>763</v>
      </c>
      <c r="K67" t="s">
        <v>830</v>
      </c>
      <c r="N67" t="s">
        <v>1038</v>
      </c>
      <c r="O67" t="s">
        <v>1140</v>
      </c>
      <c r="P67" t="s">
        <v>1232</v>
      </c>
      <c r="Q67" t="s">
        <v>1331</v>
      </c>
      <c r="R67" t="s">
        <v>1436</v>
      </c>
      <c r="W67" t="s">
        <v>1674</v>
      </c>
      <c r="X67" t="s">
        <v>1757</v>
      </c>
      <c r="Y67" t="s">
        <v>1844</v>
      </c>
      <c r="Z67" t="s">
        <v>1926</v>
      </c>
      <c r="AB67" t="s">
        <v>2097</v>
      </c>
      <c r="AH67" t="s">
        <v>2332</v>
      </c>
      <c r="AJ67" t="s">
        <v>2485</v>
      </c>
      <c r="AK67" t="s">
        <v>2573</v>
      </c>
      <c r="AM67" t="s">
        <v>2686</v>
      </c>
      <c r="AP67" t="s">
        <v>2804</v>
      </c>
      <c r="AQ67" t="s">
        <v>2870</v>
      </c>
      <c r="AR67" t="s">
        <v>2965</v>
      </c>
      <c r="AU67" t="s">
        <v>3262</v>
      </c>
      <c r="AX67" t="s">
        <v>3451</v>
      </c>
    </row>
    <row r="68" spans="2:50" x14ac:dyDescent="0.25">
      <c r="B68" t="s">
        <v>456</v>
      </c>
      <c r="E68" s="2" t="s">
        <v>556</v>
      </c>
      <c r="J68" t="s">
        <v>764</v>
      </c>
      <c r="K68" t="s">
        <v>831</v>
      </c>
      <c r="N68" t="s">
        <v>1039</v>
      </c>
      <c r="O68" t="s">
        <v>1141</v>
      </c>
      <c r="P68" t="s">
        <v>1233</v>
      </c>
      <c r="Q68" t="s">
        <v>1332</v>
      </c>
      <c r="R68" t="s">
        <v>1437</v>
      </c>
      <c r="W68" t="s">
        <v>1675</v>
      </c>
      <c r="X68" t="s">
        <v>1758</v>
      </c>
      <c r="Y68" t="s">
        <v>1845</v>
      </c>
      <c r="Z68" t="s">
        <v>1927</v>
      </c>
      <c r="AB68" t="s">
        <v>2098</v>
      </c>
      <c r="AH68" t="s">
        <v>2333</v>
      </c>
      <c r="AJ68" t="s">
        <v>2486</v>
      </c>
      <c r="AK68" t="s">
        <v>2574</v>
      </c>
      <c r="AM68" t="s">
        <v>2687</v>
      </c>
      <c r="AQ68" t="s">
        <v>2871</v>
      </c>
      <c r="AR68" t="s">
        <v>2966</v>
      </c>
      <c r="AU68" t="s">
        <v>3263</v>
      </c>
      <c r="AX68" t="s">
        <v>3452</v>
      </c>
    </row>
    <row r="69" spans="2:50" x14ac:dyDescent="0.25">
      <c r="E69" s="2" t="s">
        <v>557</v>
      </c>
      <c r="K69" t="s">
        <v>832</v>
      </c>
      <c r="N69" t="s">
        <v>1040</v>
      </c>
      <c r="O69" t="s">
        <v>1142</v>
      </c>
      <c r="P69" t="s">
        <v>1234</v>
      </c>
      <c r="Q69" t="s">
        <v>1333</v>
      </c>
      <c r="R69" t="s">
        <v>1438</v>
      </c>
      <c r="W69" t="s">
        <v>1676</v>
      </c>
      <c r="X69" t="s">
        <v>1759</v>
      </c>
      <c r="Y69" t="s">
        <v>1846</v>
      </c>
      <c r="Z69" t="s">
        <v>1928</v>
      </c>
      <c r="AB69" t="s">
        <v>2099</v>
      </c>
      <c r="AH69" t="s">
        <v>2334</v>
      </c>
      <c r="AJ69" t="s">
        <v>2487</v>
      </c>
      <c r="AK69" t="s">
        <v>2575</v>
      </c>
      <c r="AQ69" t="s">
        <v>2872</v>
      </c>
      <c r="AR69" t="s">
        <v>2967</v>
      </c>
      <c r="AU69" t="s">
        <v>3264</v>
      </c>
      <c r="AX69" t="s">
        <v>3453</v>
      </c>
    </row>
    <row r="70" spans="2:50" x14ac:dyDescent="0.25">
      <c r="E70" s="2" t="s">
        <v>558</v>
      </c>
      <c r="K70" t="s">
        <v>833</v>
      </c>
      <c r="N70" t="s">
        <v>1041</v>
      </c>
      <c r="O70" t="s">
        <v>1143</v>
      </c>
      <c r="P70" t="s">
        <v>1235</v>
      </c>
      <c r="Q70" t="s">
        <v>1334</v>
      </c>
      <c r="R70" t="s">
        <v>1439</v>
      </c>
      <c r="W70" t="s">
        <v>1677</v>
      </c>
      <c r="X70" t="s">
        <v>1760</v>
      </c>
      <c r="Y70" t="s">
        <v>1847</v>
      </c>
      <c r="Z70" t="s">
        <v>1929</v>
      </c>
      <c r="AB70" t="s">
        <v>2100</v>
      </c>
      <c r="AH70" t="s">
        <v>2335</v>
      </c>
      <c r="AJ70" t="s">
        <v>2488</v>
      </c>
      <c r="AK70" t="s">
        <v>2576</v>
      </c>
      <c r="AQ70" t="s">
        <v>2873</v>
      </c>
      <c r="AR70" t="s">
        <v>2968</v>
      </c>
      <c r="AU70" t="s">
        <v>3265</v>
      </c>
      <c r="AX70" t="s">
        <v>3454</v>
      </c>
    </row>
    <row r="71" spans="2:50" x14ac:dyDescent="0.25">
      <c r="E71" s="2" t="s">
        <v>559</v>
      </c>
      <c r="K71" t="s">
        <v>834</v>
      </c>
      <c r="N71" t="s">
        <v>1042</v>
      </c>
      <c r="O71" t="s">
        <v>1144</v>
      </c>
      <c r="P71" t="s">
        <v>1236</v>
      </c>
      <c r="Q71" t="s">
        <v>1335</v>
      </c>
      <c r="R71" t="s">
        <v>1440</v>
      </c>
      <c r="W71" t="s">
        <v>1678</v>
      </c>
      <c r="X71" t="s">
        <v>1761</v>
      </c>
      <c r="Y71" t="s">
        <v>1848</v>
      </c>
      <c r="Z71" t="s">
        <v>1930</v>
      </c>
      <c r="AB71" t="s">
        <v>2101</v>
      </c>
      <c r="AH71" t="s">
        <v>2336</v>
      </c>
      <c r="AJ71" t="s">
        <v>2489</v>
      </c>
      <c r="AK71" t="s">
        <v>2577</v>
      </c>
      <c r="AQ71" t="s">
        <v>2874</v>
      </c>
      <c r="AR71" t="s">
        <v>2969</v>
      </c>
      <c r="AU71" t="s">
        <v>3266</v>
      </c>
      <c r="AX71" t="s">
        <v>3455</v>
      </c>
    </row>
    <row r="72" spans="2:50" x14ac:dyDescent="0.25">
      <c r="E72" s="2" t="s">
        <v>560</v>
      </c>
      <c r="K72" t="s">
        <v>835</v>
      </c>
      <c r="N72" t="s">
        <v>1043</v>
      </c>
      <c r="O72" t="s">
        <v>1145</v>
      </c>
      <c r="P72" t="s">
        <v>1237</v>
      </c>
      <c r="Q72" t="s">
        <v>1336</v>
      </c>
      <c r="R72" t="s">
        <v>1441</v>
      </c>
      <c r="W72" t="s">
        <v>1679</v>
      </c>
      <c r="X72" t="s">
        <v>1762</v>
      </c>
      <c r="Y72" t="s">
        <v>1849</v>
      </c>
      <c r="Z72" t="s">
        <v>1931</v>
      </c>
      <c r="AB72" t="s">
        <v>2102</v>
      </c>
      <c r="AH72" t="s">
        <v>2337</v>
      </c>
      <c r="AJ72" t="s">
        <v>2490</v>
      </c>
      <c r="AK72" t="s">
        <v>2578</v>
      </c>
      <c r="AQ72" t="s">
        <v>2875</v>
      </c>
      <c r="AR72" t="s">
        <v>2970</v>
      </c>
      <c r="AU72" t="s">
        <v>3267</v>
      </c>
      <c r="AX72" t="s">
        <v>3456</v>
      </c>
    </row>
    <row r="73" spans="2:50" x14ac:dyDescent="0.25">
      <c r="E73" s="2" t="s">
        <v>561</v>
      </c>
      <c r="K73" t="s">
        <v>836</v>
      </c>
      <c r="N73" t="s">
        <v>1044</v>
      </c>
      <c r="O73" t="s">
        <v>1146</v>
      </c>
      <c r="P73" t="s">
        <v>1238</v>
      </c>
      <c r="Q73" t="s">
        <v>1337</v>
      </c>
      <c r="R73" t="s">
        <v>1442</v>
      </c>
      <c r="W73" t="s">
        <v>1680</v>
      </c>
      <c r="X73" t="s">
        <v>1763</v>
      </c>
      <c r="Y73" t="s">
        <v>1850</v>
      </c>
      <c r="Z73" t="s">
        <v>1932</v>
      </c>
      <c r="AB73" t="s">
        <v>2103</v>
      </c>
      <c r="AH73" t="s">
        <v>2338</v>
      </c>
      <c r="AJ73" t="s">
        <v>2491</v>
      </c>
      <c r="AK73" t="s">
        <v>2579</v>
      </c>
      <c r="AQ73" t="s">
        <v>2876</v>
      </c>
      <c r="AR73" t="s">
        <v>2971</v>
      </c>
      <c r="AU73" t="s">
        <v>3268</v>
      </c>
      <c r="AX73" t="s">
        <v>3457</v>
      </c>
    </row>
    <row r="74" spans="2:50" x14ac:dyDescent="0.25">
      <c r="E74" s="2" t="s">
        <v>562</v>
      </c>
      <c r="K74" t="s">
        <v>837</v>
      </c>
      <c r="N74" t="s">
        <v>1045</v>
      </c>
      <c r="O74" t="s">
        <v>1147</v>
      </c>
      <c r="P74" t="s">
        <v>1239</v>
      </c>
      <c r="Q74" t="s">
        <v>1338</v>
      </c>
      <c r="R74" t="s">
        <v>1443</v>
      </c>
      <c r="W74" t="s">
        <v>1681</v>
      </c>
      <c r="X74" t="s">
        <v>1764</v>
      </c>
      <c r="Y74" t="s">
        <v>1851</v>
      </c>
      <c r="Z74" t="s">
        <v>1933</v>
      </c>
      <c r="AB74" t="s">
        <v>2104</v>
      </c>
      <c r="AH74" t="s">
        <v>2339</v>
      </c>
      <c r="AJ74" t="s">
        <v>2492</v>
      </c>
      <c r="AK74" t="s">
        <v>2580</v>
      </c>
      <c r="AQ74" t="s">
        <v>2877</v>
      </c>
      <c r="AR74" t="s">
        <v>2972</v>
      </c>
      <c r="AU74" t="s">
        <v>3269</v>
      </c>
    </row>
    <row r="75" spans="2:50" x14ac:dyDescent="0.25">
      <c r="E75" s="2" t="s">
        <v>563</v>
      </c>
      <c r="K75" t="s">
        <v>838</v>
      </c>
      <c r="N75" t="s">
        <v>1046</v>
      </c>
      <c r="O75" t="s">
        <v>1148</v>
      </c>
      <c r="P75" t="s">
        <v>1240</v>
      </c>
      <c r="Q75" t="s">
        <v>1339</v>
      </c>
      <c r="R75" t="s">
        <v>1444</v>
      </c>
      <c r="W75" t="s">
        <v>1682</v>
      </c>
      <c r="X75" t="s">
        <v>1765</v>
      </c>
      <c r="Y75" t="s">
        <v>1852</v>
      </c>
      <c r="Z75" t="s">
        <v>1934</v>
      </c>
      <c r="AB75" t="s">
        <v>2105</v>
      </c>
      <c r="AH75" t="s">
        <v>2340</v>
      </c>
      <c r="AJ75" t="s">
        <v>2493</v>
      </c>
      <c r="AK75" t="s">
        <v>2581</v>
      </c>
      <c r="AQ75" t="s">
        <v>2878</v>
      </c>
      <c r="AR75" t="s">
        <v>2973</v>
      </c>
      <c r="AU75" t="s">
        <v>3270</v>
      </c>
    </row>
    <row r="76" spans="2:50" x14ac:dyDescent="0.25">
      <c r="E76" s="2" t="s">
        <v>564</v>
      </c>
      <c r="K76" t="s">
        <v>839</v>
      </c>
      <c r="N76" t="s">
        <v>1047</v>
      </c>
      <c r="O76" t="s">
        <v>1149</v>
      </c>
      <c r="P76" t="s">
        <v>1241</v>
      </c>
      <c r="Q76" t="s">
        <v>1340</v>
      </c>
      <c r="R76" t="s">
        <v>1445</v>
      </c>
      <c r="W76" t="s">
        <v>1683</v>
      </c>
      <c r="X76" t="s">
        <v>1766</v>
      </c>
      <c r="Y76" t="s">
        <v>1853</v>
      </c>
      <c r="Z76" t="s">
        <v>1935</v>
      </c>
      <c r="AB76" t="s">
        <v>2106</v>
      </c>
      <c r="AH76" t="s">
        <v>2341</v>
      </c>
      <c r="AJ76" t="s">
        <v>2494</v>
      </c>
      <c r="AK76" t="s">
        <v>2582</v>
      </c>
      <c r="AQ76" t="s">
        <v>2879</v>
      </c>
      <c r="AR76" t="s">
        <v>2974</v>
      </c>
      <c r="AU76" t="s">
        <v>3271</v>
      </c>
    </row>
    <row r="77" spans="2:50" x14ac:dyDescent="0.25">
      <c r="K77" t="s">
        <v>840</v>
      </c>
      <c r="N77" t="s">
        <v>1048</v>
      </c>
      <c r="O77" t="s">
        <v>1150</v>
      </c>
      <c r="P77" t="s">
        <v>1242</v>
      </c>
      <c r="Q77" t="s">
        <v>1341</v>
      </c>
      <c r="R77" t="s">
        <v>1446</v>
      </c>
      <c r="W77" t="s">
        <v>1684</v>
      </c>
      <c r="X77" t="s">
        <v>1767</v>
      </c>
      <c r="Y77" t="s">
        <v>1854</v>
      </c>
      <c r="Z77" t="s">
        <v>1936</v>
      </c>
      <c r="AB77" t="s">
        <v>2107</v>
      </c>
      <c r="AH77" t="s">
        <v>2342</v>
      </c>
      <c r="AJ77" t="s">
        <v>2495</v>
      </c>
      <c r="AK77" t="s">
        <v>2583</v>
      </c>
      <c r="AQ77" t="s">
        <v>2880</v>
      </c>
      <c r="AR77" t="s">
        <v>2975</v>
      </c>
      <c r="AU77" t="s">
        <v>3272</v>
      </c>
    </row>
    <row r="78" spans="2:50" x14ac:dyDescent="0.25">
      <c r="K78" t="s">
        <v>841</v>
      </c>
      <c r="N78" t="s">
        <v>1049</v>
      </c>
      <c r="O78" t="s">
        <v>1151</v>
      </c>
      <c r="P78" t="s">
        <v>1243</v>
      </c>
      <c r="Q78" t="s">
        <v>1342</v>
      </c>
      <c r="R78" t="s">
        <v>1447</v>
      </c>
      <c r="W78" t="s">
        <v>1685</v>
      </c>
      <c r="X78" t="s">
        <v>1768</v>
      </c>
      <c r="Y78" t="s">
        <v>1855</v>
      </c>
      <c r="Z78" t="s">
        <v>1937</v>
      </c>
      <c r="AB78" t="s">
        <v>2108</v>
      </c>
      <c r="AH78" t="s">
        <v>2343</v>
      </c>
      <c r="AJ78" t="s">
        <v>2496</v>
      </c>
      <c r="AK78" t="s">
        <v>2584</v>
      </c>
      <c r="AQ78" t="s">
        <v>2881</v>
      </c>
      <c r="AR78" t="s">
        <v>2976</v>
      </c>
      <c r="AU78" t="s">
        <v>3273</v>
      </c>
    </row>
    <row r="79" spans="2:50" x14ac:dyDescent="0.25">
      <c r="K79" t="s">
        <v>842</v>
      </c>
      <c r="N79" t="s">
        <v>1050</v>
      </c>
      <c r="O79" t="s">
        <v>1152</v>
      </c>
      <c r="P79" t="s">
        <v>1244</v>
      </c>
      <c r="Q79" t="s">
        <v>1343</v>
      </c>
      <c r="R79" t="s">
        <v>1448</v>
      </c>
      <c r="W79" t="s">
        <v>1686</v>
      </c>
      <c r="X79" t="s">
        <v>1769</v>
      </c>
      <c r="Y79" t="s">
        <v>1856</v>
      </c>
      <c r="Z79" t="s">
        <v>1938</v>
      </c>
      <c r="AB79" t="s">
        <v>2109</v>
      </c>
      <c r="AH79" t="s">
        <v>2344</v>
      </c>
      <c r="AJ79" t="s">
        <v>2497</v>
      </c>
      <c r="AQ79" t="s">
        <v>2882</v>
      </c>
      <c r="AR79" t="s">
        <v>2977</v>
      </c>
      <c r="AU79" t="s">
        <v>3274</v>
      </c>
    </row>
    <row r="80" spans="2:50" x14ac:dyDescent="0.25">
      <c r="K80" t="s">
        <v>843</v>
      </c>
      <c r="N80" t="s">
        <v>1051</v>
      </c>
      <c r="O80" t="s">
        <v>1153</v>
      </c>
      <c r="P80" t="s">
        <v>1245</v>
      </c>
      <c r="Q80" t="s">
        <v>1344</v>
      </c>
      <c r="R80" t="s">
        <v>1449</v>
      </c>
      <c r="W80" t="s">
        <v>1687</v>
      </c>
      <c r="X80" t="s">
        <v>1770</v>
      </c>
      <c r="Y80" t="s">
        <v>1857</v>
      </c>
      <c r="Z80" t="s">
        <v>1939</v>
      </c>
      <c r="AB80" t="s">
        <v>2110</v>
      </c>
      <c r="AH80" t="s">
        <v>2345</v>
      </c>
      <c r="AJ80" t="s">
        <v>2498</v>
      </c>
      <c r="AQ80" t="s">
        <v>2883</v>
      </c>
      <c r="AR80" t="s">
        <v>2978</v>
      </c>
      <c r="AU80" t="s">
        <v>3275</v>
      </c>
    </row>
    <row r="81" spans="11:47" x14ac:dyDescent="0.25">
      <c r="K81" t="s">
        <v>844</v>
      </c>
      <c r="N81" t="s">
        <v>1052</v>
      </c>
      <c r="O81" t="s">
        <v>1154</v>
      </c>
      <c r="P81" t="s">
        <v>1246</v>
      </c>
      <c r="Q81" t="s">
        <v>1345</v>
      </c>
      <c r="R81" t="s">
        <v>1450</v>
      </c>
      <c r="W81" t="s">
        <v>1688</v>
      </c>
      <c r="X81" t="s">
        <v>1771</v>
      </c>
      <c r="Y81" t="s">
        <v>1858</v>
      </c>
      <c r="Z81" t="s">
        <v>1940</v>
      </c>
      <c r="AB81" t="s">
        <v>2111</v>
      </c>
      <c r="AH81" t="s">
        <v>2346</v>
      </c>
      <c r="AJ81" t="s">
        <v>2499</v>
      </c>
      <c r="AQ81" t="s">
        <v>2884</v>
      </c>
      <c r="AR81" t="s">
        <v>2979</v>
      </c>
      <c r="AU81" t="s">
        <v>3276</v>
      </c>
    </row>
    <row r="82" spans="11:47" x14ac:dyDescent="0.25">
      <c r="K82" t="s">
        <v>845</v>
      </c>
      <c r="N82" t="s">
        <v>1053</v>
      </c>
      <c r="O82" t="s">
        <v>1155</v>
      </c>
      <c r="P82" t="s">
        <v>1247</v>
      </c>
      <c r="Q82" t="s">
        <v>1346</v>
      </c>
      <c r="R82" t="s">
        <v>1451</v>
      </c>
      <c r="W82" t="s">
        <v>1689</v>
      </c>
      <c r="X82" t="s">
        <v>1772</v>
      </c>
      <c r="Y82" t="s">
        <v>1859</v>
      </c>
      <c r="Z82" t="s">
        <v>1941</v>
      </c>
      <c r="AB82" t="s">
        <v>2112</v>
      </c>
      <c r="AH82" t="s">
        <v>2347</v>
      </c>
      <c r="AJ82" t="s">
        <v>2500</v>
      </c>
      <c r="AQ82" t="s">
        <v>2885</v>
      </c>
      <c r="AR82" t="s">
        <v>2980</v>
      </c>
      <c r="AU82" t="s">
        <v>3277</v>
      </c>
    </row>
    <row r="83" spans="11:47" x14ac:dyDescent="0.25">
      <c r="K83" t="s">
        <v>846</v>
      </c>
      <c r="N83" t="s">
        <v>1054</v>
      </c>
      <c r="O83" t="s">
        <v>1156</v>
      </c>
      <c r="P83" t="s">
        <v>1248</v>
      </c>
      <c r="Q83" t="s">
        <v>1347</v>
      </c>
      <c r="R83" t="s">
        <v>1452</v>
      </c>
      <c r="W83" t="s">
        <v>1690</v>
      </c>
      <c r="X83" t="s">
        <v>1773</v>
      </c>
      <c r="Y83" t="s">
        <v>1860</v>
      </c>
      <c r="Z83" t="s">
        <v>1942</v>
      </c>
      <c r="AB83" t="s">
        <v>2113</v>
      </c>
      <c r="AH83" t="s">
        <v>2348</v>
      </c>
      <c r="AJ83" t="s">
        <v>2501</v>
      </c>
      <c r="AQ83" t="s">
        <v>2886</v>
      </c>
      <c r="AR83" t="s">
        <v>2981</v>
      </c>
      <c r="AU83" t="s">
        <v>3278</v>
      </c>
    </row>
    <row r="84" spans="11:47" x14ac:dyDescent="0.25">
      <c r="K84" t="s">
        <v>847</v>
      </c>
      <c r="N84" t="s">
        <v>1055</v>
      </c>
      <c r="O84" t="s">
        <v>1157</v>
      </c>
      <c r="P84" t="s">
        <v>1249</v>
      </c>
      <c r="Q84" t="s">
        <v>1348</v>
      </c>
      <c r="R84" t="s">
        <v>1453</v>
      </c>
      <c r="W84" t="s">
        <v>1691</v>
      </c>
      <c r="X84" t="s">
        <v>1774</v>
      </c>
      <c r="Z84" t="s">
        <v>1943</v>
      </c>
      <c r="AB84" t="s">
        <v>2114</v>
      </c>
      <c r="AH84" t="s">
        <v>2349</v>
      </c>
      <c r="AJ84" t="s">
        <v>2502</v>
      </c>
      <c r="AQ84" t="s">
        <v>2887</v>
      </c>
      <c r="AR84" t="s">
        <v>2982</v>
      </c>
      <c r="AU84" t="s">
        <v>3279</v>
      </c>
    </row>
    <row r="85" spans="11:47" x14ac:dyDescent="0.25">
      <c r="K85" t="s">
        <v>848</v>
      </c>
      <c r="N85" t="s">
        <v>1056</v>
      </c>
      <c r="O85" t="s">
        <v>1158</v>
      </c>
      <c r="P85" t="s">
        <v>1250</v>
      </c>
      <c r="Q85" t="s">
        <v>1349</v>
      </c>
      <c r="R85" t="s">
        <v>1454</v>
      </c>
      <c r="X85" t="s">
        <v>1775</v>
      </c>
      <c r="Z85" t="s">
        <v>1944</v>
      </c>
      <c r="AB85" t="s">
        <v>2115</v>
      </c>
      <c r="AH85" t="s">
        <v>2350</v>
      </c>
      <c r="AJ85" t="s">
        <v>2503</v>
      </c>
      <c r="AQ85" t="s">
        <v>2888</v>
      </c>
      <c r="AR85" t="s">
        <v>2983</v>
      </c>
      <c r="AU85" t="s">
        <v>3280</v>
      </c>
    </row>
    <row r="86" spans="11:47" x14ac:dyDescent="0.25">
      <c r="K86" t="s">
        <v>849</v>
      </c>
      <c r="N86" t="s">
        <v>1057</v>
      </c>
      <c r="O86" t="s">
        <v>1159</v>
      </c>
      <c r="P86" t="s">
        <v>1251</v>
      </c>
      <c r="Q86" t="s">
        <v>1350</v>
      </c>
      <c r="R86" t="s">
        <v>1455</v>
      </c>
      <c r="X86" t="s">
        <v>1776</v>
      </c>
      <c r="Z86" t="s">
        <v>1945</v>
      </c>
      <c r="AB86" t="s">
        <v>2116</v>
      </c>
      <c r="AH86" t="s">
        <v>2351</v>
      </c>
      <c r="AJ86" t="s">
        <v>2504</v>
      </c>
      <c r="AQ86" t="s">
        <v>2889</v>
      </c>
      <c r="AR86" t="s">
        <v>2984</v>
      </c>
      <c r="AU86" t="s">
        <v>3281</v>
      </c>
    </row>
    <row r="87" spans="11:47" x14ac:dyDescent="0.25">
      <c r="K87" t="s">
        <v>850</v>
      </c>
      <c r="N87" t="s">
        <v>1058</v>
      </c>
      <c r="O87" t="s">
        <v>1160</v>
      </c>
      <c r="P87" t="s">
        <v>1252</v>
      </c>
      <c r="Q87" t="s">
        <v>1351</v>
      </c>
      <c r="R87" t="s">
        <v>1456</v>
      </c>
      <c r="X87" t="s">
        <v>1777</v>
      </c>
      <c r="Z87" t="s">
        <v>1946</v>
      </c>
      <c r="AB87" t="s">
        <v>2117</v>
      </c>
      <c r="AH87" t="s">
        <v>2352</v>
      </c>
      <c r="AJ87" t="s">
        <v>2505</v>
      </c>
      <c r="AQ87" t="s">
        <v>2890</v>
      </c>
      <c r="AR87" t="s">
        <v>2985</v>
      </c>
      <c r="AU87" t="s">
        <v>3282</v>
      </c>
    </row>
    <row r="88" spans="11:47" x14ac:dyDescent="0.25">
      <c r="K88" t="s">
        <v>851</v>
      </c>
      <c r="N88" t="s">
        <v>1059</v>
      </c>
      <c r="O88" t="s">
        <v>1161</v>
      </c>
      <c r="P88" t="s">
        <v>1253</v>
      </c>
      <c r="Q88" t="s">
        <v>1352</v>
      </c>
      <c r="R88" t="s">
        <v>1457</v>
      </c>
      <c r="X88" t="s">
        <v>1778</v>
      </c>
      <c r="Z88" t="s">
        <v>1947</v>
      </c>
      <c r="AB88" t="s">
        <v>2118</v>
      </c>
      <c r="AH88" t="s">
        <v>2353</v>
      </c>
      <c r="AJ88" t="s">
        <v>2506</v>
      </c>
      <c r="AQ88" t="s">
        <v>2891</v>
      </c>
      <c r="AR88" t="s">
        <v>2986</v>
      </c>
      <c r="AU88" t="s">
        <v>3283</v>
      </c>
    </row>
    <row r="89" spans="11:47" x14ac:dyDescent="0.25">
      <c r="K89" t="s">
        <v>852</v>
      </c>
      <c r="N89" t="s">
        <v>1060</v>
      </c>
      <c r="O89" t="s">
        <v>1162</v>
      </c>
      <c r="P89" t="s">
        <v>1254</v>
      </c>
      <c r="Q89" t="s">
        <v>1353</v>
      </c>
      <c r="R89" t="s">
        <v>1458</v>
      </c>
      <c r="Z89" t="s">
        <v>1948</v>
      </c>
      <c r="AB89" t="s">
        <v>2119</v>
      </c>
      <c r="AH89" t="s">
        <v>2354</v>
      </c>
      <c r="AJ89" t="s">
        <v>2507</v>
      </c>
      <c r="AQ89" t="s">
        <v>2892</v>
      </c>
      <c r="AR89" t="s">
        <v>2987</v>
      </c>
      <c r="AU89" t="s">
        <v>3284</v>
      </c>
    </row>
    <row r="90" spans="11:47" x14ac:dyDescent="0.25">
      <c r="K90" t="s">
        <v>853</v>
      </c>
      <c r="N90" t="s">
        <v>1061</v>
      </c>
      <c r="O90" t="s">
        <v>1163</v>
      </c>
      <c r="P90" t="s">
        <v>1255</v>
      </c>
      <c r="Q90" t="s">
        <v>1354</v>
      </c>
      <c r="R90" t="s">
        <v>1459</v>
      </c>
      <c r="Z90" t="s">
        <v>1949</v>
      </c>
      <c r="AB90" t="s">
        <v>2120</v>
      </c>
      <c r="AH90" t="s">
        <v>2355</v>
      </c>
      <c r="AQ90" t="s">
        <v>2893</v>
      </c>
      <c r="AR90" t="s">
        <v>2988</v>
      </c>
      <c r="AU90" t="s">
        <v>3285</v>
      </c>
    </row>
    <row r="91" spans="11:47" x14ac:dyDescent="0.25">
      <c r="K91" t="s">
        <v>854</v>
      </c>
      <c r="N91" t="s">
        <v>1062</v>
      </c>
      <c r="O91" t="s">
        <v>1164</v>
      </c>
      <c r="P91" t="s">
        <v>1256</v>
      </c>
      <c r="Q91" t="s">
        <v>1355</v>
      </c>
      <c r="R91" t="s">
        <v>1460</v>
      </c>
      <c r="Z91" t="s">
        <v>1950</v>
      </c>
      <c r="AB91" t="s">
        <v>2121</v>
      </c>
      <c r="AH91" t="s">
        <v>2356</v>
      </c>
      <c r="AQ91" t="s">
        <v>2894</v>
      </c>
      <c r="AR91" t="s">
        <v>2989</v>
      </c>
      <c r="AU91" t="s">
        <v>3286</v>
      </c>
    </row>
    <row r="92" spans="11:47" x14ac:dyDescent="0.25">
      <c r="K92" t="s">
        <v>855</v>
      </c>
      <c r="N92" t="s">
        <v>1063</v>
      </c>
      <c r="O92" t="s">
        <v>1165</v>
      </c>
      <c r="P92" t="s">
        <v>1257</v>
      </c>
      <c r="Q92" t="s">
        <v>1356</v>
      </c>
      <c r="R92" t="s">
        <v>1461</v>
      </c>
      <c r="Z92" t="s">
        <v>1951</v>
      </c>
      <c r="AB92" t="s">
        <v>2122</v>
      </c>
      <c r="AH92" t="s">
        <v>2357</v>
      </c>
      <c r="AQ92" t="s">
        <v>2895</v>
      </c>
      <c r="AR92" t="s">
        <v>2990</v>
      </c>
      <c r="AU92" t="s">
        <v>3287</v>
      </c>
    </row>
    <row r="93" spans="11:47" x14ac:dyDescent="0.25">
      <c r="K93" t="s">
        <v>856</v>
      </c>
      <c r="N93" t="s">
        <v>1064</v>
      </c>
      <c r="O93" t="s">
        <v>1166</v>
      </c>
      <c r="P93" t="s">
        <v>1258</v>
      </c>
      <c r="Q93" t="s">
        <v>1357</v>
      </c>
      <c r="R93" t="s">
        <v>1462</v>
      </c>
      <c r="Z93" t="s">
        <v>1952</v>
      </c>
      <c r="AB93" t="s">
        <v>2123</v>
      </c>
      <c r="AH93" t="s">
        <v>2358</v>
      </c>
      <c r="AQ93" t="s">
        <v>2896</v>
      </c>
      <c r="AR93" t="s">
        <v>2991</v>
      </c>
      <c r="AU93" t="s">
        <v>3288</v>
      </c>
    </row>
    <row r="94" spans="11:47" x14ac:dyDescent="0.25">
      <c r="K94" t="s">
        <v>857</v>
      </c>
      <c r="N94" t="s">
        <v>1065</v>
      </c>
      <c r="P94" t="s">
        <v>1259</v>
      </c>
      <c r="Q94" t="s">
        <v>1358</v>
      </c>
      <c r="R94" t="s">
        <v>1463</v>
      </c>
      <c r="Z94" t="s">
        <v>1953</v>
      </c>
      <c r="AB94" t="s">
        <v>2124</v>
      </c>
      <c r="AH94" t="s">
        <v>2359</v>
      </c>
      <c r="AQ94" t="s">
        <v>2897</v>
      </c>
      <c r="AR94" t="s">
        <v>2992</v>
      </c>
      <c r="AU94" t="s">
        <v>3289</v>
      </c>
    </row>
    <row r="95" spans="11:47" x14ac:dyDescent="0.25">
      <c r="K95" t="s">
        <v>858</v>
      </c>
      <c r="N95" t="s">
        <v>1066</v>
      </c>
      <c r="P95" t="s">
        <v>1260</v>
      </c>
      <c r="Q95" t="s">
        <v>1359</v>
      </c>
      <c r="R95" t="s">
        <v>1464</v>
      </c>
      <c r="Z95" t="s">
        <v>1954</v>
      </c>
      <c r="AH95" t="s">
        <v>2360</v>
      </c>
      <c r="AQ95" t="s">
        <v>2898</v>
      </c>
      <c r="AR95" t="s">
        <v>2993</v>
      </c>
      <c r="AU95" t="s">
        <v>3290</v>
      </c>
    </row>
    <row r="96" spans="11:47" x14ac:dyDescent="0.25">
      <c r="K96" t="s">
        <v>859</v>
      </c>
      <c r="N96" t="s">
        <v>1067</v>
      </c>
      <c r="P96" t="s">
        <v>1261</v>
      </c>
      <c r="Q96" t="s">
        <v>1360</v>
      </c>
      <c r="R96" t="s">
        <v>1465</v>
      </c>
      <c r="Z96" t="s">
        <v>1955</v>
      </c>
      <c r="AH96" t="s">
        <v>2361</v>
      </c>
      <c r="AQ96" t="s">
        <v>2899</v>
      </c>
      <c r="AR96" t="s">
        <v>2994</v>
      </c>
      <c r="AU96" t="s">
        <v>3291</v>
      </c>
    </row>
    <row r="97" spans="11:44" x14ac:dyDescent="0.25">
      <c r="K97" t="s">
        <v>860</v>
      </c>
      <c r="N97" t="s">
        <v>1068</v>
      </c>
      <c r="P97" t="s">
        <v>1262</v>
      </c>
      <c r="Q97" t="s">
        <v>1361</v>
      </c>
      <c r="R97" t="s">
        <v>1466</v>
      </c>
      <c r="Z97" t="s">
        <v>1956</v>
      </c>
      <c r="AH97" t="s">
        <v>2362</v>
      </c>
      <c r="AR97" t="s">
        <v>2995</v>
      </c>
    </row>
    <row r="98" spans="11:44" x14ac:dyDescent="0.25">
      <c r="K98" t="s">
        <v>861</v>
      </c>
      <c r="N98" t="s">
        <v>1069</v>
      </c>
      <c r="P98" t="s">
        <v>1263</v>
      </c>
      <c r="Q98" t="s">
        <v>1362</v>
      </c>
      <c r="R98" t="s">
        <v>1467</v>
      </c>
      <c r="Z98" t="s">
        <v>1957</v>
      </c>
      <c r="AH98" t="s">
        <v>2363</v>
      </c>
      <c r="AR98" t="s">
        <v>2996</v>
      </c>
    </row>
    <row r="99" spans="11:44" x14ac:dyDescent="0.25">
      <c r="K99" t="s">
        <v>862</v>
      </c>
      <c r="N99" t="s">
        <v>1070</v>
      </c>
      <c r="P99" t="s">
        <v>1264</v>
      </c>
      <c r="Q99" t="s">
        <v>1363</v>
      </c>
      <c r="R99" t="s">
        <v>1468</v>
      </c>
      <c r="Z99" t="s">
        <v>1958</v>
      </c>
      <c r="AH99" t="s">
        <v>2364</v>
      </c>
      <c r="AR99" t="s">
        <v>2997</v>
      </c>
    </row>
    <row r="100" spans="11:44" x14ac:dyDescent="0.25">
      <c r="K100" t="s">
        <v>863</v>
      </c>
      <c r="N100" t="s">
        <v>1071</v>
      </c>
      <c r="P100" t="s">
        <v>1265</v>
      </c>
      <c r="Q100" t="s">
        <v>1364</v>
      </c>
      <c r="R100" t="s">
        <v>1469</v>
      </c>
      <c r="Z100" t="s">
        <v>1959</v>
      </c>
      <c r="AH100" t="s">
        <v>2365</v>
      </c>
      <c r="AR100" t="s">
        <v>2998</v>
      </c>
    </row>
    <row r="101" spans="11:44" x14ac:dyDescent="0.25">
      <c r="K101" t="s">
        <v>864</v>
      </c>
      <c r="N101" t="s">
        <v>1072</v>
      </c>
      <c r="Q101" t="s">
        <v>1365</v>
      </c>
      <c r="R101" t="s">
        <v>1470</v>
      </c>
      <c r="Z101" t="s">
        <v>1960</v>
      </c>
      <c r="AH101" t="s">
        <v>2366</v>
      </c>
      <c r="AR101" t="s">
        <v>2999</v>
      </c>
    </row>
    <row r="102" spans="11:44" x14ac:dyDescent="0.25">
      <c r="K102" t="s">
        <v>865</v>
      </c>
      <c r="N102" t="s">
        <v>1073</v>
      </c>
      <c r="Q102" t="s">
        <v>1366</v>
      </c>
      <c r="R102" t="s">
        <v>1471</v>
      </c>
      <c r="Z102" t="s">
        <v>1961</v>
      </c>
      <c r="AR102" t="s">
        <v>3000</v>
      </c>
    </row>
    <row r="103" spans="11:44" x14ac:dyDescent="0.25">
      <c r="K103" t="s">
        <v>866</v>
      </c>
      <c r="N103" t="s">
        <v>1074</v>
      </c>
      <c r="Q103" t="s">
        <v>1367</v>
      </c>
      <c r="R103" t="s">
        <v>1472</v>
      </c>
      <c r="Z103" t="s">
        <v>1962</v>
      </c>
      <c r="AR103" t="s">
        <v>3001</v>
      </c>
    </row>
    <row r="104" spans="11:44" x14ac:dyDescent="0.25">
      <c r="K104" t="s">
        <v>867</v>
      </c>
      <c r="Q104" t="s">
        <v>1368</v>
      </c>
      <c r="R104" t="s">
        <v>1473</v>
      </c>
      <c r="Z104" t="s">
        <v>1963</v>
      </c>
      <c r="AR104" t="s">
        <v>3002</v>
      </c>
    </row>
    <row r="105" spans="11:44" x14ac:dyDescent="0.25">
      <c r="K105" t="s">
        <v>868</v>
      </c>
      <c r="Q105" t="s">
        <v>1369</v>
      </c>
      <c r="R105" t="s">
        <v>1474</v>
      </c>
      <c r="Z105" t="s">
        <v>1964</v>
      </c>
      <c r="AR105" t="s">
        <v>3003</v>
      </c>
    </row>
    <row r="106" spans="11:44" x14ac:dyDescent="0.25">
      <c r="K106" t="s">
        <v>869</v>
      </c>
      <c r="Q106" t="s">
        <v>1370</v>
      </c>
      <c r="R106" t="s">
        <v>1475</v>
      </c>
      <c r="Z106" t="s">
        <v>1965</v>
      </c>
      <c r="AR106" t="s">
        <v>3004</v>
      </c>
    </row>
    <row r="107" spans="11:44" x14ac:dyDescent="0.25">
      <c r="K107" t="s">
        <v>870</v>
      </c>
      <c r="R107" t="s">
        <v>1476</v>
      </c>
      <c r="Z107" t="s">
        <v>1966</v>
      </c>
      <c r="AR107" t="s">
        <v>3005</v>
      </c>
    </row>
    <row r="108" spans="11:44" x14ac:dyDescent="0.25">
      <c r="K108" t="s">
        <v>871</v>
      </c>
      <c r="R108" t="s">
        <v>1477</v>
      </c>
      <c r="Z108" t="s">
        <v>1967</v>
      </c>
      <c r="AR108" t="s">
        <v>3006</v>
      </c>
    </row>
    <row r="109" spans="11:44" x14ac:dyDescent="0.25">
      <c r="K109" t="s">
        <v>872</v>
      </c>
      <c r="R109" t="s">
        <v>1478</v>
      </c>
      <c r="Z109" t="s">
        <v>1968</v>
      </c>
      <c r="AR109" t="s">
        <v>3007</v>
      </c>
    </row>
    <row r="110" spans="11:44" x14ac:dyDescent="0.25">
      <c r="K110" t="s">
        <v>873</v>
      </c>
      <c r="R110" t="s">
        <v>1479</v>
      </c>
      <c r="Z110" t="s">
        <v>1969</v>
      </c>
      <c r="AR110" t="s">
        <v>3008</v>
      </c>
    </row>
    <row r="111" spans="11:44" x14ac:dyDescent="0.25">
      <c r="K111" t="s">
        <v>874</v>
      </c>
      <c r="R111" t="s">
        <v>1480</v>
      </c>
      <c r="Z111" t="s">
        <v>1970</v>
      </c>
      <c r="AR111" t="s">
        <v>3009</v>
      </c>
    </row>
    <row r="112" spans="11:44" x14ac:dyDescent="0.25">
      <c r="K112" t="s">
        <v>875</v>
      </c>
      <c r="R112" t="s">
        <v>1481</v>
      </c>
      <c r="Z112" t="s">
        <v>1971</v>
      </c>
      <c r="AR112" t="s">
        <v>3010</v>
      </c>
    </row>
    <row r="113" spans="11:44" x14ac:dyDescent="0.25">
      <c r="K113" t="s">
        <v>876</v>
      </c>
      <c r="R113" t="s">
        <v>1482</v>
      </c>
      <c r="Z113" t="s">
        <v>1972</v>
      </c>
      <c r="AR113" t="s">
        <v>3011</v>
      </c>
    </row>
    <row r="114" spans="11:44" x14ac:dyDescent="0.25">
      <c r="K114" t="s">
        <v>877</v>
      </c>
      <c r="R114" t="s">
        <v>1483</v>
      </c>
      <c r="Z114" t="s">
        <v>1973</v>
      </c>
      <c r="AR114" t="s">
        <v>3012</v>
      </c>
    </row>
    <row r="115" spans="11:44" x14ac:dyDescent="0.25">
      <c r="K115" t="s">
        <v>878</v>
      </c>
      <c r="R115" t="s">
        <v>1484</v>
      </c>
      <c r="Z115" t="s">
        <v>1974</v>
      </c>
      <c r="AR115" t="s">
        <v>3013</v>
      </c>
    </row>
    <row r="116" spans="11:44" x14ac:dyDescent="0.25">
      <c r="K116" t="s">
        <v>879</v>
      </c>
      <c r="R116" t="s">
        <v>1485</v>
      </c>
      <c r="Z116" t="s">
        <v>1975</v>
      </c>
      <c r="AR116" t="s">
        <v>3014</v>
      </c>
    </row>
    <row r="117" spans="11:44" x14ac:dyDescent="0.25">
      <c r="K117" t="s">
        <v>880</v>
      </c>
      <c r="R117" t="s">
        <v>1486</v>
      </c>
      <c r="AR117" t="s">
        <v>3015</v>
      </c>
    </row>
    <row r="118" spans="11:44" x14ac:dyDescent="0.25">
      <c r="K118" t="s">
        <v>881</v>
      </c>
      <c r="R118" t="s">
        <v>1487</v>
      </c>
      <c r="AR118" t="s">
        <v>3016</v>
      </c>
    </row>
    <row r="119" spans="11:44" x14ac:dyDescent="0.25">
      <c r="K119" t="s">
        <v>882</v>
      </c>
      <c r="R119" t="s">
        <v>1488</v>
      </c>
      <c r="AR119" t="s">
        <v>3017</v>
      </c>
    </row>
    <row r="120" spans="11:44" x14ac:dyDescent="0.25">
      <c r="K120" t="s">
        <v>883</v>
      </c>
      <c r="R120" t="s">
        <v>1489</v>
      </c>
      <c r="AR120" t="s">
        <v>3018</v>
      </c>
    </row>
    <row r="121" spans="11:44" x14ac:dyDescent="0.25">
      <c r="K121" t="s">
        <v>884</v>
      </c>
      <c r="R121" t="s">
        <v>1490</v>
      </c>
      <c r="AR121" t="s">
        <v>3019</v>
      </c>
    </row>
    <row r="122" spans="11:44" x14ac:dyDescent="0.25">
      <c r="K122" t="s">
        <v>885</v>
      </c>
      <c r="AR122" t="s">
        <v>3020</v>
      </c>
    </row>
    <row r="123" spans="11:44" x14ac:dyDescent="0.25">
      <c r="K123" t="s">
        <v>886</v>
      </c>
      <c r="AR123" t="s">
        <v>3021</v>
      </c>
    </row>
    <row r="124" spans="11:44" x14ac:dyDescent="0.25">
      <c r="K124" t="s">
        <v>887</v>
      </c>
      <c r="AR124" t="s">
        <v>3022</v>
      </c>
    </row>
    <row r="125" spans="11:44" x14ac:dyDescent="0.25">
      <c r="K125" t="s">
        <v>888</v>
      </c>
      <c r="AR125" t="s">
        <v>3023</v>
      </c>
    </row>
    <row r="126" spans="11:44" x14ac:dyDescent="0.25">
      <c r="K126" t="s">
        <v>889</v>
      </c>
      <c r="AR126" t="s">
        <v>3024</v>
      </c>
    </row>
    <row r="127" spans="11:44" x14ac:dyDescent="0.25">
      <c r="K127" t="s">
        <v>890</v>
      </c>
      <c r="AR127" t="s">
        <v>3025</v>
      </c>
    </row>
    <row r="128" spans="11:44" x14ac:dyDescent="0.25">
      <c r="K128" t="s">
        <v>891</v>
      </c>
      <c r="AR128" t="s">
        <v>3026</v>
      </c>
    </row>
    <row r="129" spans="11:44" x14ac:dyDescent="0.25">
      <c r="K129" t="s">
        <v>892</v>
      </c>
      <c r="AR129" t="s">
        <v>3027</v>
      </c>
    </row>
    <row r="130" spans="11:44" x14ac:dyDescent="0.25">
      <c r="K130" t="s">
        <v>893</v>
      </c>
      <c r="AR130" t="s">
        <v>3028</v>
      </c>
    </row>
    <row r="131" spans="11:44" x14ac:dyDescent="0.25">
      <c r="K131" t="s">
        <v>894</v>
      </c>
      <c r="AR131" t="s">
        <v>3029</v>
      </c>
    </row>
    <row r="132" spans="11:44" x14ac:dyDescent="0.25">
      <c r="K132" t="s">
        <v>895</v>
      </c>
      <c r="AR132" t="s">
        <v>3030</v>
      </c>
    </row>
    <row r="133" spans="11:44" x14ac:dyDescent="0.25">
      <c r="K133" t="s">
        <v>896</v>
      </c>
      <c r="AR133" t="s">
        <v>3031</v>
      </c>
    </row>
    <row r="134" spans="11:44" x14ac:dyDescent="0.25">
      <c r="K134" t="s">
        <v>897</v>
      </c>
      <c r="AR134" t="s">
        <v>3032</v>
      </c>
    </row>
    <row r="135" spans="11:44" x14ac:dyDescent="0.25">
      <c r="K135" t="s">
        <v>898</v>
      </c>
      <c r="AR135" t="s">
        <v>3033</v>
      </c>
    </row>
    <row r="136" spans="11:44" x14ac:dyDescent="0.25">
      <c r="K136" t="s">
        <v>899</v>
      </c>
      <c r="AR136" t="s">
        <v>3034</v>
      </c>
    </row>
    <row r="137" spans="11:44" x14ac:dyDescent="0.25">
      <c r="K137" t="s">
        <v>900</v>
      </c>
      <c r="AR137" t="s">
        <v>3035</v>
      </c>
    </row>
    <row r="138" spans="11:44" x14ac:dyDescent="0.25">
      <c r="K138" t="s">
        <v>901</v>
      </c>
      <c r="AR138" t="s">
        <v>3036</v>
      </c>
    </row>
    <row r="139" spans="11:44" x14ac:dyDescent="0.25">
      <c r="K139" t="s">
        <v>902</v>
      </c>
      <c r="AR139" t="s">
        <v>3037</v>
      </c>
    </row>
    <row r="140" spans="11:44" x14ac:dyDescent="0.25">
      <c r="K140" t="s">
        <v>903</v>
      </c>
      <c r="AR140" t="s">
        <v>3038</v>
      </c>
    </row>
    <row r="141" spans="11:44" x14ac:dyDescent="0.25">
      <c r="K141" t="s">
        <v>904</v>
      </c>
      <c r="AR141" t="s">
        <v>3039</v>
      </c>
    </row>
    <row r="142" spans="11:44" x14ac:dyDescent="0.25">
      <c r="K142" t="s">
        <v>905</v>
      </c>
      <c r="AR142" t="s">
        <v>3040</v>
      </c>
    </row>
    <row r="143" spans="11:44" x14ac:dyDescent="0.25">
      <c r="K143" t="s">
        <v>906</v>
      </c>
      <c r="AR143" t="s">
        <v>3041</v>
      </c>
    </row>
    <row r="144" spans="11:44" x14ac:dyDescent="0.25">
      <c r="K144" t="s">
        <v>907</v>
      </c>
      <c r="AR144" t="s">
        <v>3042</v>
      </c>
    </row>
    <row r="145" spans="11:44" x14ac:dyDescent="0.25">
      <c r="K145" t="s">
        <v>908</v>
      </c>
      <c r="AR145" t="s">
        <v>3043</v>
      </c>
    </row>
    <row r="146" spans="11:44" x14ac:dyDescent="0.25">
      <c r="K146" t="s">
        <v>909</v>
      </c>
      <c r="AR146" t="s">
        <v>3044</v>
      </c>
    </row>
    <row r="147" spans="11:44" x14ac:dyDescent="0.25">
      <c r="K147" t="s">
        <v>910</v>
      </c>
      <c r="AR147" t="s">
        <v>3045</v>
      </c>
    </row>
    <row r="148" spans="11:44" x14ac:dyDescent="0.25">
      <c r="K148" t="s">
        <v>911</v>
      </c>
      <c r="AR148" t="s">
        <v>3046</v>
      </c>
    </row>
    <row r="149" spans="11:44" x14ac:dyDescent="0.25">
      <c r="K149" t="s">
        <v>912</v>
      </c>
      <c r="AR149" t="s">
        <v>3047</v>
      </c>
    </row>
    <row r="150" spans="11:44" x14ac:dyDescent="0.25">
      <c r="K150" t="s">
        <v>913</v>
      </c>
      <c r="AR150" t="s">
        <v>3048</v>
      </c>
    </row>
    <row r="151" spans="11:44" x14ac:dyDescent="0.25">
      <c r="K151" t="s">
        <v>914</v>
      </c>
      <c r="AR151" t="s">
        <v>3049</v>
      </c>
    </row>
    <row r="152" spans="11:44" x14ac:dyDescent="0.25">
      <c r="K152" t="s">
        <v>915</v>
      </c>
      <c r="AR152" t="s">
        <v>3050</v>
      </c>
    </row>
    <row r="153" spans="11:44" x14ac:dyDescent="0.25">
      <c r="K153" t="s">
        <v>916</v>
      </c>
      <c r="AR153" t="s">
        <v>3051</v>
      </c>
    </row>
    <row r="154" spans="11:44" x14ac:dyDescent="0.25">
      <c r="K154" t="s">
        <v>917</v>
      </c>
      <c r="AR154" t="s">
        <v>3052</v>
      </c>
    </row>
    <row r="155" spans="11:44" x14ac:dyDescent="0.25">
      <c r="K155" t="s">
        <v>918</v>
      </c>
      <c r="AR155" t="s">
        <v>3053</v>
      </c>
    </row>
    <row r="156" spans="11:44" x14ac:dyDescent="0.25">
      <c r="K156" t="s">
        <v>919</v>
      </c>
      <c r="AR156" t="s">
        <v>3054</v>
      </c>
    </row>
    <row r="157" spans="11:44" x14ac:dyDescent="0.25">
      <c r="K157" t="s">
        <v>920</v>
      </c>
      <c r="AR157" t="s">
        <v>3055</v>
      </c>
    </row>
    <row r="158" spans="11:44" x14ac:dyDescent="0.25">
      <c r="K158" t="s">
        <v>921</v>
      </c>
      <c r="AR158" t="s">
        <v>3056</v>
      </c>
    </row>
    <row r="159" spans="11:44" x14ac:dyDescent="0.25">
      <c r="K159" t="s">
        <v>922</v>
      </c>
      <c r="AR159" t="s">
        <v>3057</v>
      </c>
    </row>
    <row r="160" spans="11:44" x14ac:dyDescent="0.25">
      <c r="K160" t="s">
        <v>923</v>
      </c>
      <c r="AR160" t="s">
        <v>3058</v>
      </c>
    </row>
    <row r="161" spans="44:44" x14ac:dyDescent="0.25">
      <c r="AR161" t="s">
        <v>3059</v>
      </c>
    </row>
    <row r="162" spans="44:44" x14ac:dyDescent="0.25">
      <c r="AR162" t="s">
        <v>3060</v>
      </c>
    </row>
    <row r="163" spans="44:44" x14ac:dyDescent="0.25">
      <c r="AR163" t="s">
        <v>3061</v>
      </c>
    </row>
    <row r="164" spans="44:44" x14ac:dyDescent="0.25">
      <c r="AR164" t="s">
        <v>3062</v>
      </c>
    </row>
    <row r="165" spans="44:44" x14ac:dyDescent="0.25">
      <c r="AR165" t="s">
        <v>3063</v>
      </c>
    </row>
    <row r="166" spans="44:44" x14ac:dyDescent="0.25">
      <c r="AR166" t="s">
        <v>3064</v>
      </c>
    </row>
    <row r="167" spans="44:44" x14ac:dyDescent="0.25">
      <c r="AR167" t="s">
        <v>3065</v>
      </c>
    </row>
    <row r="168" spans="44:44" x14ac:dyDescent="0.25">
      <c r="AR168" t="s">
        <v>3066</v>
      </c>
    </row>
    <row r="169" spans="44:44" x14ac:dyDescent="0.25">
      <c r="AR169" t="s">
        <v>3067</v>
      </c>
    </row>
    <row r="170" spans="44:44" x14ac:dyDescent="0.25">
      <c r="AR170" t="s">
        <v>3068</v>
      </c>
    </row>
    <row r="171" spans="44:44" x14ac:dyDescent="0.25">
      <c r="AR171" t="s">
        <v>3069</v>
      </c>
    </row>
    <row r="172" spans="44:44" x14ac:dyDescent="0.25">
      <c r="AR172" t="s">
        <v>3070</v>
      </c>
    </row>
    <row r="173" spans="44:44" x14ac:dyDescent="0.25">
      <c r="AR173" t="s">
        <v>3071</v>
      </c>
    </row>
    <row r="174" spans="44:44" x14ac:dyDescent="0.25">
      <c r="AR174" t="s">
        <v>3072</v>
      </c>
    </row>
    <row r="175" spans="44:44" x14ac:dyDescent="0.25">
      <c r="AR175" t="s">
        <v>3073</v>
      </c>
    </row>
    <row r="176" spans="44:44" x14ac:dyDescent="0.25">
      <c r="AR176" t="s">
        <v>3074</v>
      </c>
    </row>
    <row r="177" spans="44:44" x14ac:dyDescent="0.25">
      <c r="AR177" t="s">
        <v>3075</v>
      </c>
    </row>
    <row r="178" spans="44:44" x14ac:dyDescent="0.25">
      <c r="AR178" t="s">
        <v>3076</v>
      </c>
    </row>
    <row r="179" spans="44:44" x14ac:dyDescent="0.25">
      <c r="AR179" t="s">
        <v>3077</v>
      </c>
    </row>
    <row r="180" spans="44:44" x14ac:dyDescent="0.25">
      <c r="AR180" t="s">
        <v>3078</v>
      </c>
    </row>
    <row r="181" spans="44:44" x14ac:dyDescent="0.25">
      <c r="AR181" t="s">
        <v>3079</v>
      </c>
    </row>
    <row r="182" spans="44:44" x14ac:dyDescent="0.25">
      <c r="AR182" t="s">
        <v>3080</v>
      </c>
    </row>
    <row r="183" spans="44:44" x14ac:dyDescent="0.25">
      <c r="AR183" t="s">
        <v>3081</v>
      </c>
    </row>
    <row r="184" spans="44:44" x14ac:dyDescent="0.25">
      <c r="AR184" t="s">
        <v>3082</v>
      </c>
    </row>
    <row r="185" spans="44:44" x14ac:dyDescent="0.25">
      <c r="AR185" t="s">
        <v>3083</v>
      </c>
    </row>
    <row r="186" spans="44:44" x14ac:dyDescent="0.25">
      <c r="AR186" t="s">
        <v>3084</v>
      </c>
    </row>
    <row r="187" spans="44:44" x14ac:dyDescent="0.25">
      <c r="AR187" t="s">
        <v>3085</v>
      </c>
    </row>
    <row r="188" spans="44:44" x14ac:dyDescent="0.25">
      <c r="AR188" t="s">
        <v>3086</v>
      </c>
    </row>
    <row r="189" spans="44:44" x14ac:dyDescent="0.25">
      <c r="AR189" t="s">
        <v>3087</v>
      </c>
    </row>
    <row r="190" spans="44:44" x14ac:dyDescent="0.25">
      <c r="AR190" t="s">
        <v>3088</v>
      </c>
    </row>
    <row r="191" spans="44:44" x14ac:dyDescent="0.25">
      <c r="AR191" t="s">
        <v>3089</v>
      </c>
    </row>
    <row r="192" spans="44:44" x14ac:dyDescent="0.25">
      <c r="AR192" t="s">
        <v>3090</v>
      </c>
    </row>
    <row r="193" spans="44:44" x14ac:dyDescent="0.25">
      <c r="AR193" t="s">
        <v>3091</v>
      </c>
    </row>
    <row r="194" spans="44:44" x14ac:dyDescent="0.25">
      <c r="AR194" t="s">
        <v>3092</v>
      </c>
    </row>
    <row r="195" spans="44:44" x14ac:dyDescent="0.25">
      <c r="AR195" t="s">
        <v>3093</v>
      </c>
    </row>
    <row r="196" spans="44:44" x14ac:dyDescent="0.25">
      <c r="AR196" t="s">
        <v>3094</v>
      </c>
    </row>
    <row r="197" spans="44:44" x14ac:dyDescent="0.25">
      <c r="AR197" t="s">
        <v>3095</v>
      </c>
    </row>
    <row r="198" spans="44:44" x14ac:dyDescent="0.25">
      <c r="AR198" t="s">
        <v>3096</v>
      </c>
    </row>
    <row r="199" spans="44:44" x14ac:dyDescent="0.25">
      <c r="AR199" t="s">
        <v>3097</v>
      </c>
    </row>
    <row r="200" spans="44:44" x14ac:dyDescent="0.25">
      <c r="AR200" t="s">
        <v>3098</v>
      </c>
    </row>
    <row r="201" spans="44:44" x14ac:dyDescent="0.25">
      <c r="AR201" t="s">
        <v>3099</v>
      </c>
    </row>
    <row r="202" spans="44:44" x14ac:dyDescent="0.25">
      <c r="AR202" t="s">
        <v>3100</v>
      </c>
    </row>
    <row r="203" spans="44:44" x14ac:dyDescent="0.25">
      <c r="AR203" t="s">
        <v>3101</v>
      </c>
    </row>
    <row r="204" spans="44:44" x14ac:dyDescent="0.25">
      <c r="AR204" t="s">
        <v>3102</v>
      </c>
    </row>
    <row r="205" spans="44:44" x14ac:dyDescent="0.25">
      <c r="AR205" t="s">
        <v>3103</v>
      </c>
    </row>
    <row r="206" spans="44:44" x14ac:dyDescent="0.25">
      <c r="AR206" t="s">
        <v>3104</v>
      </c>
    </row>
    <row r="207" spans="44:44" x14ac:dyDescent="0.25">
      <c r="AR207" t="s">
        <v>3105</v>
      </c>
    </row>
    <row r="208" spans="44:44" x14ac:dyDescent="0.25">
      <c r="AR208" t="s">
        <v>3106</v>
      </c>
    </row>
    <row r="209" spans="44:44" x14ac:dyDescent="0.25">
      <c r="AR209" t="s">
        <v>3107</v>
      </c>
    </row>
    <row r="210" spans="44:44" x14ac:dyDescent="0.25">
      <c r="AR210" t="s">
        <v>3108</v>
      </c>
    </row>
    <row r="211" spans="44:44" x14ac:dyDescent="0.25">
      <c r="AR211" t="s">
        <v>3109</v>
      </c>
    </row>
    <row r="212" spans="44:44" x14ac:dyDescent="0.25">
      <c r="AR212" t="s">
        <v>3110</v>
      </c>
    </row>
    <row r="213" spans="44:44" x14ac:dyDescent="0.25">
      <c r="AR213" t="s">
        <v>3111</v>
      </c>
    </row>
    <row r="214" spans="44:44" x14ac:dyDescent="0.25">
      <c r="AR214" t="s">
        <v>3112</v>
      </c>
    </row>
    <row r="215" spans="44:44" x14ac:dyDescent="0.25">
      <c r="AR215" t="s">
        <v>3113</v>
      </c>
    </row>
    <row r="216" spans="44:44" x14ac:dyDescent="0.25">
      <c r="AR216" t="s">
        <v>3114</v>
      </c>
    </row>
    <row r="217" spans="44:44" x14ac:dyDescent="0.25">
      <c r="AR217" t="s">
        <v>3115</v>
      </c>
    </row>
    <row r="218" spans="44:44" x14ac:dyDescent="0.25">
      <c r="AR218" t="s">
        <v>3116</v>
      </c>
    </row>
    <row r="219" spans="44:44" x14ac:dyDescent="0.25">
      <c r="AR219" t="s">
        <v>3117</v>
      </c>
    </row>
    <row r="220" spans="44:44" x14ac:dyDescent="0.25">
      <c r="AR220" t="s">
        <v>3118</v>
      </c>
    </row>
    <row r="221" spans="44:44" x14ac:dyDescent="0.25">
      <c r="AR221" t="s">
        <v>3119</v>
      </c>
    </row>
    <row r="222" spans="44:44" x14ac:dyDescent="0.25">
      <c r="AR222" t="s">
        <v>3120</v>
      </c>
    </row>
    <row r="223" spans="44:44" x14ac:dyDescent="0.25">
      <c r="AR223" t="s">
        <v>3121</v>
      </c>
    </row>
    <row r="224" spans="44:44" x14ac:dyDescent="0.25">
      <c r="AR224" t="s">
        <v>3122</v>
      </c>
    </row>
    <row r="225" spans="44:44" x14ac:dyDescent="0.25">
      <c r="AR225" t="s">
        <v>3123</v>
      </c>
    </row>
    <row r="226" spans="44:44" x14ac:dyDescent="0.25">
      <c r="AR226" t="s">
        <v>3124</v>
      </c>
    </row>
    <row r="227" spans="44:44" x14ac:dyDescent="0.25">
      <c r="AR227" t="s">
        <v>3125</v>
      </c>
    </row>
    <row r="228" spans="44:44" x14ac:dyDescent="0.25">
      <c r="AR228" t="s">
        <v>3126</v>
      </c>
    </row>
    <row r="229" spans="44:44" x14ac:dyDescent="0.25">
      <c r="AR229" t="s">
        <v>3127</v>
      </c>
    </row>
    <row r="230" spans="44:44" x14ac:dyDescent="0.25">
      <c r="AR230" t="s">
        <v>3128</v>
      </c>
    </row>
    <row r="231" spans="44:44" x14ac:dyDescent="0.25">
      <c r="AR231" t="s">
        <v>3129</v>
      </c>
    </row>
    <row r="232" spans="44:44" x14ac:dyDescent="0.25">
      <c r="AR232" t="s">
        <v>3130</v>
      </c>
    </row>
    <row r="233" spans="44:44" x14ac:dyDescent="0.25">
      <c r="AR233" t="s">
        <v>3131</v>
      </c>
    </row>
    <row r="234" spans="44:44" x14ac:dyDescent="0.25">
      <c r="AR234" t="s">
        <v>3132</v>
      </c>
    </row>
    <row r="235" spans="44:44" x14ac:dyDescent="0.25">
      <c r="AR235" t="s">
        <v>3133</v>
      </c>
    </row>
    <row r="236" spans="44:44" x14ac:dyDescent="0.25">
      <c r="AR236" t="s">
        <v>3134</v>
      </c>
    </row>
    <row r="237" spans="44:44" x14ac:dyDescent="0.25">
      <c r="AR237" t="s">
        <v>3135</v>
      </c>
    </row>
    <row r="238" spans="44:44" x14ac:dyDescent="0.25">
      <c r="AR238" t="s">
        <v>3136</v>
      </c>
    </row>
    <row r="239" spans="44:44" x14ac:dyDescent="0.25">
      <c r="AR239" t="s">
        <v>3137</v>
      </c>
    </row>
    <row r="240" spans="44:44" x14ac:dyDescent="0.25">
      <c r="AR240" t="s">
        <v>3138</v>
      </c>
    </row>
    <row r="241" spans="44:44" x14ac:dyDescent="0.25">
      <c r="AR241" t="s">
        <v>3139</v>
      </c>
    </row>
    <row r="242" spans="44:44" x14ac:dyDescent="0.25">
      <c r="AR242" t="s">
        <v>3140</v>
      </c>
    </row>
    <row r="243" spans="44:44" x14ac:dyDescent="0.25">
      <c r="AR243" t="s">
        <v>3141</v>
      </c>
    </row>
    <row r="244" spans="44:44" x14ac:dyDescent="0.25">
      <c r="AR244" t="s">
        <v>3142</v>
      </c>
    </row>
    <row r="245" spans="44:44" x14ac:dyDescent="0.25">
      <c r="AR245" t="s">
        <v>3143</v>
      </c>
    </row>
    <row r="246" spans="44:44" x14ac:dyDescent="0.25">
      <c r="AR246" t="s">
        <v>3144</v>
      </c>
    </row>
    <row r="247" spans="44:44" x14ac:dyDescent="0.25">
      <c r="AR247" t="s">
        <v>3145</v>
      </c>
    </row>
    <row r="248" spans="44:44" x14ac:dyDescent="0.25">
      <c r="AR248" t="s">
        <v>3146</v>
      </c>
    </row>
    <row r="249" spans="44:44" x14ac:dyDescent="0.25">
      <c r="AR249" t="s">
        <v>3147</v>
      </c>
    </row>
    <row r="250" spans="44:44" x14ac:dyDescent="0.25">
      <c r="AR250" t="s">
        <v>3148</v>
      </c>
    </row>
    <row r="251" spans="44:44" x14ac:dyDescent="0.25">
      <c r="AR251" t="s">
        <v>3149</v>
      </c>
    </row>
    <row r="252" spans="44:44" x14ac:dyDescent="0.25">
      <c r="AR252" t="s">
        <v>3150</v>
      </c>
    </row>
    <row r="253" spans="44:44" x14ac:dyDescent="0.25">
      <c r="AR253" t="s">
        <v>3151</v>
      </c>
    </row>
    <row r="254" spans="44:44" x14ac:dyDescent="0.25">
      <c r="AR254" t="s">
        <v>3152</v>
      </c>
    </row>
    <row r="255" spans="44:44" x14ac:dyDescent="0.25">
      <c r="AR255" t="s">
        <v>3153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BO1200"/>
  <sheetViews>
    <sheetView showGridLines="0" tabSelected="1" zoomScale="90" zoomScaleNormal="90" workbookViewId="0">
      <pane xSplit="1" ySplit="3" topLeftCell="AB4" activePane="bottomRight" state="frozen"/>
      <selection pane="topRight" activeCell="B1" sqref="B1"/>
      <selection pane="bottomLeft" activeCell="A4" sqref="A4"/>
      <selection pane="bottomRight" activeCell="AD4" sqref="AD4"/>
    </sheetView>
  </sheetViews>
  <sheetFormatPr defaultRowHeight="14.25" x14ac:dyDescent="0.2"/>
  <cols>
    <col min="1" max="1" width="25.85546875" style="80" customWidth="1"/>
    <col min="2" max="3" width="33" style="81" customWidth="1"/>
    <col min="4" max="4" width="29" style="81" customWidth="1"/>
    <col min="5" max="5" width="24.85546875" style="81" bestFit="1" customWidth="1"/>
    <col min="6" max="6" width="38.7109375" style="81" bestFit="1" customWidth="1"/>
    <col min="7" max="7" width="24.85546875" style="81" customWidth="1"/>
    <col min="8" max="8" width="45.5703125" style="82" bestFit="1" customWidth="1"/>
    <col min="9" max="9" width="39.28515625" style="83" customWidth="1"/>
    <col min="10" max="10" width="16.7109375" style="250" customWidth="1"/>
    <col min="11" max="11" width="29" style="81" customWidth="1"/>
    <col min="12" max="13" width="26.7109375" style="82" customWidth="1"/>
    <col min="14" max="14" width="25.140625" style="84" customWidth="1"/>
    <col min="15" max="15" width="23.28515625" style="82" customWidth="1"/>
    <col min="16" max="25" width="34.85546875" style="82" customWidth="1"/>
    <col min="26" max="26" width="32.28515625" style="81" customWidth="1"/>
    <col min="27" max="28" width="26.7109375" style="81" customWidth="1"/>
    <col min="29" max="30" width="25.28515625" style="81" customWidth="1"/>
    <col min="31" max="31" width="25.140625" style="81" customWidth="1"/>
    <col min="32" max="32" width="24.5703125" style="83" customWidth="1"/>
    <col min="33" max="33" width="30.5703125" style="82" customWidth="1"/>
    <col min="34" max="35" width="24.5703125" style="82" customWidth="1"/>
    <col min="36" max="36" width="27.42578125" style="81" customWidth="1"/>
    <col min="37" max="37" width="27.85546875" style="81" customWidth="1"/>
    <col min="38" max="38" width="20.85546875" style="81" customWidth="1"/>
    <col min="39" max="39" width="29.7109375" style="83" customWidth="1"/>
    <col min="40" max="41" width="33" style="82" customWidth="1"/>
    <col min="42" max="45" width="21.42578125" style="81" customWidth="1"/>
    <col min="46" max="46" width="27.85546875" style="81" customWidth="1"/>
    <col min="47" max="47" width="29.5703125" style="81" customWidth="1"/>
    <col min="48" max="48" width="28.42578125" style="81" customWidth="1"/>
    <col min="49" max="49" width="26.140625" style="81" customWidth="1"/>
    <col min="50" max="50" width="26.7109375" style="81" customWidth="1"/>
    <col min="51" max="51" width="25.85546875" style="81" customWidth="1"/>
    <col min="52" max="52" width="26.28515625" style="81" customWidth="1"/>
    <col min="53" max="53" width="26.85546875" style="81" customWidth="1"/>
    <col min="54" max="55" width="36.5703125" style="81" customWidth="1"/>
    <col min="56" max="56" width="32.42578125" style="81" customWidth="1"/>
    <col min="57" max="58" width="34.28515625" style="81" customWidth="1"/>
    <col min="59" max="59" width="29.42578125" style="81" customWidth="1"/>
    <col min="60" max="60" width="34.140625" style="81" customWidth="1"/>
    <col min="61" max="61" width="30.5703125" style="81" customWidth="1"/>
    <col min="62" max="62" width="24.42578125" style="81" customWidth="1"/>
    <col min="63" max="63" width="30.7109375" style="81" customWidth="1"/>
    <col min="64" max="64" width="21.7109375" style="81" customWidth="1"/>
    <col min="65" max="65" width="29.5703125" style="81" customWidth="1"/>
    <col min="66" max="67" width="40.140625" style="81" customWidth="1"/>
    <col min="68" max="16384" width="9.140625" style="3"/>
  </cols>
  <sheetData>
    <row r="1" spans="1:67" ht="29.25" customHeight="1" x14ac:dyDescent="0.2">
      <c r="A1" s="281" t="s">
        <v>330</v>
      </c>
      <c r="B1" s="284" t="s">
        <v>333</v>
      </c>
      <c r="C1" s="285"/>
      <c r="D1" s="285"/>
      <c r="E1" s="285"/>
      <c r="F1" s="285"/>
      <c r="G1" s="285"/>
      <c r="H1" s="285"/>
      <c r="I1" s="286"/>
      <c r="J1" s="280" t="s">
        <v>3518</v>
      </c>
      <c r="K1" s="280"/>
      <c r="L1" s="280"/>
      <c r="M1" s="280"/>
      <c r="N1" s="280"/>
      <c r="O1" s="280"/>
      <c r="P1" s="280"/>
      <c r="Q1" s="293" t="s">
        <v>3544</v>
      </c>
      <c r="R1" s="294"/>
      <c r="S1" s="294"/>
      <c r="T1" s="294"/>
      <c r="U1" s="294"/>
      <c r="V1" s="294"/>
      <c r="W1" s="294"/>
      <c r="X1" s="294"/>
      <c r="Y1" s="295"/>
      <c r="Z1" s="305" t="s">
        <v>245</v>
      </c>
      <c r="AA1" s="306"/>
      <c r="AB1" s="306"/>
      <c r="AC1" s="306"/>
      <c r="AD1" s="306"/>
      <c r="AE1" s="306"/>
      <c r="AF1" s="306"/>
      <c r="AG1" s="306"/>
      <c r="AH1" s="306"/>
      <c r="AI1" s="306"/>
      <c r="AJ1" s="306"/>
      <c r="AK1" s="306"/>
      <c r="AL1" s="306"/>
      <c r="AM1" s="306"/>
      <c r="AN1" s="306"/>
      <c r="AO1" s="306"/>
      <c r="AP1" s="306"/>
      <c r="AQ1" s="306"/>
      <c r="AR1" s="306"/>
      <c r="AS1" s="307"/>
      <c r="AT1" s="290" t="s">
        <v>93</v>
      </c>
      <c r="AU1" s="291"/>
      <c r="AV1" s="292"/>
      <c r="AW1" s="310" t="s">
        <v>3524</v>
      </c>
      <c r="AX1" s="310"/>
      <c r="AY1" s="310"/>
      <c r="AZ1" s="310"/>
      <c r="BA1" s="310"/>
      <c r="BB1" s="308" t="s">
        <v>55</v>
      </c>
      <c r="BC1" s="308"/>
      <c r="BD1" s="308"/>
      <c r="BE1" s="308"/>
      <c r="BF1" s="308"/>
      <c r="BG1" s="308"/>
      <c r="BH1" s="308"/>
      <c r="BI1" s="308"/>
      <c r="BJ1" s="308"/>
      <c r="BK1" s="308"/>
      <c r="BL1" s="308"/>
      <c r="BM1" s="308"/>
      <c r="BN1" s="308" t="s">
        <v>94</v>
      </c>
      <c r="BO1" s="308"/>
    </row>
    <row r="2" spans="1:67" ht="60.75" customHeight="1" x14ac:dyDescent="0.2">
      <c r="A2" s="282"/>
      <c r="B2" s="287"/>
      <c r="C2" s="288"/>
      <c r="D2" s="288"/>
      <c r="E2" s="288"/>
      <c r="F2" s="288"/>
      <c r="G2" s="288"/>
      <c r="H2" s="288"/>
      <c r="I2" s="289"/>
      <c r="J2" s="280"/>
      <c r="K2" s="280"/>
      <c r="L2" s="280"/>
      <c r="M2" s="280"/>
      <c r="N2" s="280"/>
      <c r="O2" s="280"/>
      <c r="P2" s="280"/>
      <c r="Q2" s="296"/>
      <c r="R2" s="297"/>
      <c r="S2" s="297"/>
      <c r="T2" s="297"/>
      <c r="U2" s="297"/>
      <c r="V2" s="297"/>
      <c r="W2" s="297"/>
      <c r="X2" s="297"/>
      <c r="Y2" s="298"/>
      <c r="Z2" s="303" t="s">
        <v>3519</v>
      </c>
      <c r="AA2" s="304"/>
      <c r="AB2" s="304"/>
      <c r="AC2" s="304"/>
      <c r="AD2" s="304"/>
      <c r="AE2" s="304"/>
      <c r="AF2" s="304"/>
      <c r="AG2" s="304"/>
      <c r="AH2" s="302" t="s">
        <v>3521</v>
      </c>
      <c r="AI2" s="302"/>
      <c r="AJ2" s="302"/>
      <c r="AK2" s="302"/>
      <c r="AL2" s="302"/>
      <c r="AM2" s="302"/>
      <c r="AN2" s="299" t="s">
        <v>3522</v>
      </c>
      <c r="AO2" s="300"/>
      <c r="AP2" s="300"/>
      <c r="AQ2" s="300"/>
      <c r="AR2" s="300"/>
      <c r="AS2" s="301"/>
      <c r="AT2" s="299" t="s">
        <v>3523</v>
      </c>
      <c r="AU2" s="300"/>
      <c r="AV2" s="301"/>
      <c r="AW2" s="310"/>
      <c r="AX2" s="310"/>
      <c r="AY2" s="310"/>
      <c r="AZ2" s="310"/>
      <c r="BA2" s="310"/>
      <c r="BB2" s="312" t="s">
        <v>3528</v>
      </c>
      <c r="BC2" s="313"/>
      <c r="BD2" s="314"/>
      <c r="BE2" s="280" t="s">
        <v>3526</v>
      </c>
      <c r="BF2" s="280"/>
      <c r="BG2" s="280"/>
      <c r="BH2" s="311" t="s">
        <v>3527</v>
      </c>
      <c r="BI2" s="311"/>
      <c r="BJ2" s="311"/>
      <c r="BK2" s="311"/>
      <c r="BL2" s="311"/>
      <c r="BM2" s="311"/>
      <c r="BN2" s="309" t="s">
        <v>3525</v>
      </c>
      <c r="BO2" s="309"/>
    </row>
    <row r="3" spans="1:67" ht="75.75" customHeight="1" x14ac:dyDescent="0.2">
      <c r="A3" s="283"/>
      <c r="B3" s="130" t="s">
        <v>332</v>
      </c>
      <c r="C3" s="7" t="s">
        <v>273</v>
      </c>
      <c r="D3" s="7" t="s">
        <v>89</v>
      </c>
      <c r="E3" s="7" t="s">
        <v>90</v>
      </c>
      <c r="F3" s="7" t="s">
        <v>310</v>
      </c>
      <c r="G3" s="7" t="s">
        <v>311</v>
      </c>
      <c r="H3" s="7" t="s">
        <v>198</v>
      </c>
      <c r="I3" s="7" t="s">
        <v>199</v>
      </c>
      <c r="J3" s="248" t="s">
        <v>3543</v>
      </c>
      <c r="K3" s="14" t="s">
        <v>234</v>
      </c>
      <c r="L3" s="8" t="s">
        <v>3482</v>
      </c>
      <c r="M3" s="8" t="s">
        <v>3483</v>
      </c>
      <c r="N3" s="66" t="s">
        <v>272</v>
      </c>
      <c r="O3" s="12" t="s">
        <v>87</v>
      </c>
      <c r="P3" s="8" t="s">
        <v>88</v>
      </c>
      <c r="Q3" s="5" t="s">
        <v>289</v>
      </c>
      <c r="R3" s="5" t="s">
        <v>3529</v>
      </c>
      <c r="S3" s="5" t="s">
        <v>3530</v>
      </c>
      <c r="T3" s="5" t="s">
        <v>3531</v>
      </c>
      <c r="U3" s="5" t="s">
        <v>3532</v>
      </c>
      <c r="V3" s="5" t="s">
        <v>3533</v>
      </c>
      <c r="W3" s="5" t="s">
        <v>3534</v>
      </c>
      <c r="X3" s="5" t="s">
        <v>3535</v>
      </c>
      <c r="Y3" s="5" t="s">
        <v>3536</v>
      </c>
      <c r="Z3" s="131" t="s">
        <v>3545</v>
      </c>
      <c r="AA3" s="9" t="s">
        <v>60</v>
      </c>
      <c r="AB3" s="9" t="s">
        <v>222</v>
      </c>
      <c r="AC3" s="9" t="s">
        <v>3547</v>
      </c>
      <c r="AD3" s="9" t="s">
        <v>3547</v>
      </c>
      <c r="AE3" s="9" t="s">
        <v>59</v>
      </c>
      <c r="AF3" s="9" t="s">
        <v>65</v>
      </c>
      <c r="AG3" s="9" t="s">
        <v>3550</v>
      </c>
      <c r="AH3" s="10" t="s">
        <v>69</v>
      </c>
      <c r="AI3" s="10" t="s">
        <v>223</v>
      </c>
      <c r="AJ3" s="10" t="s">
        <v>3546</v>
      </c>
      <c r="AK3" s="10" t="s">
        <v>3546</v>
      </c>
      <c r="AL3" s="10" t="s">
        <v>66</v>
      </c>
      <c r="AM3" s="10" t="s">
        <v>68</v>
      </c>
      <c r="AN3" s="5" t="s">
        <v>71</v>
      </c>
      <c r="AO3" s="5" t="s">
        <v>224</v>
      </c>
      <c r="AP3" s="5" t="s">
        <v>3541</v>
      </c>
      <c r="AQ3" s="5" t="s">
        <v>3541</v>
      </c>
      <c r="AR3" s="5" t="s">
        <v>3541</v>
      </c>
      <c r="AS3" s="5" t="s">
        <v>334</v>
      </c>
      <c r="AT3" s="5" t="s">
        <v>3542</v>
      </c>
      <c r="AU3" s="5" t="s">
        <v>3542</v>
      </c>
      <c r="AV3" s="5" t="s">
        <v>3542</v>
      </c>
      <c r="AW3" s="6" t="s">
        <v>3548</v>
      </c>
      <c r="AX3" s="6" t="s">
        <v>3548</v>
      </c>
      <c r="AY3" s="6" t="s">
        <v>3548</v>
      </c>
      <c r="AZ3" s="6" t="s">
        <v>3548</v>
      </c>
      <c r="BA3" s="6" t="s">
        <v>3548</v>
      </c>
      <c r="BB3" s="7" t="s">
        <v>77</v>
      </c>
      <c r="BC3" s="19" t="s">
        <v>217</v>
      </c>
      <c r="BD3" s="7" t="s">
        <v>379</v>
      </c>
      <c r="BE3" s="8" t="s">
        <v>78</v>
      </c>
      <c r="BF3" s="23" t="s">
        <v>216</v>
      </c>
      <c r="BG3" s="8" t="s">
        <v>66</v>
      </c>
      <c r="BH3" s="9" t="s">
        <v>384</v>
      </c>
      <c r="BI3" s="9" t="s">
        <v>220</v>
      </c>
      <c r="BJ3" s="9" t="s">
        <v>334</v>
      </c>
      <c r="BK3" s="9" t="s">
        <v>95</v>
      </c>
      <c r="BL3" s="9" t="s">
        <v>82</v>
      </c>
      <c r="BM3" s="9" t="s">
        <v>84</v>
      </c>
      <c r="BN3" s="129" t="s">
        <v>3549</v>
      </c>
      <c r="BO3" s="129" t="s">
        <v>3549</v>
      </c>
    </row>
    <row r="4" spans="1:67" s="4" customFormat="1" ht="53.25" customHeight="1" x14ac:dyDescent="0.25">
      <c r="A4" s="71"/>
      <c r="B4" s="11"/>
      <c r="C4" s="11"/>
      <c r="D4" s="11"/>
      <c r="E4" s="11"/>
      <c r="F4" s="11"/>
      <c r="G4" s="11"/>
      <c r="H4" s="11"/>
      <c r="I4" s="11"/>
      <c r="J4" s="249"/>
      <c r="K4" s="72"/>
      <c r="L4" s="73"/>
      <c r="M4" s="73"/>
      <c r="N4" s="74"/>
      <c r="O4" s="75"/>
      <c r="P4" s="73"/>
      <c r="Q4" s="76"/>
      <c r="R4" s="76"/>
      <c r="S4" s="76"/>
      <c r="T4" s="76"/>
      <c r="U4" s="76"/>
      <c r="V4" s="76"/>
      <c r="W4" s="76"/>
      <c r="X4" s="76"/>
      <c r="Y4" s="76"/>
      <c r="Z4" s="77"/>
      <c r="AA4" s="77"/>
      <c r="AB4" s="77"/>
      <c r="AC4" s="77"/>
      <c r="AD4" s="77"/>
      <c r="AE4" s="77"/>
      <c r="AF4" s="77"/>
      <c r="AG4" s="77"/>
      <c r="AH4" s="78"/>
      <c r="AI4" s="78"/>
      <c r="AJ4" s="78"/>
      <c r="AK4" s="78"/>
      <c r="AL4" s="78"/>
      <c r="AM4" s="78"/>
      <c r="AN4" s="76"/>
      <c r="AO4" s="76"/>
      <c r="AP4" s="76"/>
      <c r="AQ4" s="76"/>
      <c r="AR4" s="76"/>
      <c r="AS4" s="76"/>
      <c r="AT4" s="76"/>
      <c r="AU4" s="76"/>
      <c r="AV4" s="76"/>
      <c r="AW4" s="79"/>
      <c r="AX4" s="79"/>
      <c r="AY4" s="79"/>
      <c r="AZ4" s="79"/>
      <c r="BA4" s="79"/>
      <c r="BB4" s="11"/>
      <c r="BC4" s="11"/>
      <c r="BD4" s="11"/>
      <c r="BE4" s="73"/>
      <c r="BF4" s="73"/>
      <c r="BG4" s="73"/>
      <c r="BH4" s="77"/>
      <c r="BI4" s="77"/>
      <c r="BJ4" s="77"/>
      <c r="BK4" s="77"/>
      <c r="BL4" s="77"/>
      <c r="BM4" s="77"/>
      <c r="BN4" s="158"/>
      <c r="BO4" s="158"/>
    </row>
    <row r="5" spans="1:67" ht="42" customHeight="1" x14ac:dyDescent="0.2">
      <c r="A5" s="262"/>
      <c r="B5" s="11"/>
      <c r="C5" s="11"/>
      <c r="D5" s="11"/>
      <c r="E5" s="11"/>
      <c r="F5" s="11"/>
      <c r="G5" s="11"/>
      <c r="H5" s="11"/>
      <c r="I5" s="11"/>
      <c r="J5" s="249"/>
      <c r="K5" s="72"/>
      <c r="L5" s="73"/>
      <c r="M5" s="73"/>
      <c r="N5" s="74"/>
      <c r="O5" s="75"/>
      <c r="P5" s="73"/>
      <c r="Q5" s="76"/>
      <c r="R5" s="76"/>
      <c r="S5" s="76"/>
      <c r="T5" s="76"/>
      <c r="U5" s="76"/>
      <c r="V5" s="76"/>
      <c r="W5" s="76"/>
      <c r="X5" s="76"/>
      <c r="Y5" s="76"/>
      <c r="Z5" s="77"/>
      <c r="AA5" s="77"/>
      <c r="AB5" s="77"/>
      <c r="AC5" s="77"/>
      <c r="AD5" s="77"/>
      <c r="AE5" s="77"/>
      <c r="AF5" s="77"/>
      <c r="AG5" s="77"/>
      <c r="AH5" s="78"/>
      <c r="AI5" s="78"/>
      <c r="AJ5" s="78"/>
      <c r="AK5" s="78"/>
      <c r="AL5" s="78"/>
      <c r="AM5" s="78"/>
      <c r="AN5" s="76"/>
      <c r="AO5" s="76"/>
      <c r="AP5" s="76"/>
      <c r="AQ5" s="76"/>
      <c r="AR5" s="76"/>
      <c r="AS5" s="76"/>
      <c r="AT5" s="76"/>
      <c r="AU5" s="76"/>
      <c r="AV5" s="76"/>
      <c r="AW5" s="79"/>
      <c r="AX5" s="79"/>
      <c r="AY5" s="79"/>
      <c r="AZ5" s="79"/>
      <c r="BA5" s="79"/>
      <c r="BB5" s="11"/>
      <c r="BC5" s="11"/>
      <c r="BD5" s="11"/>
      <c r="BE5" s="73"/>
      <c r="BF5" s="73"/>
      <c r="BG5" s="73"/>
      <c r="BH5" s="77"/>
      <c r="BI5" s="77"/>
      <c r="BJ5" s="77"/>
      <c r="BK5" s="77"/>
      <c r="BL5" s="77"/>
      <c r="BM5" s="77"/>
      <c r="BN5" s="158"/>
      <c r="BO5" s="158"/>
    </row>
    <row r="6" spans="1:67" ht="32.25" customHeight="1" x14ac:dyDescent="0.25">
      <c r="A6" s="71"/>
      <c r="B6" s="11"/>
      <c r="C6" s="11"/>
      <c r="D6" s="11"/>
      <c r="E6" s="11"/>
      <c r="F6" s="11"/>
      <c r="G6" s="11"/>
      <c r="H6" s="11"/>
      <c r="I6" s="11"/>
      <c r="J6" s="249"/>
      <c r="K6" s="72"/>
      <c r="L6" s="73"/>
      <c r="M6" s="73"/>
      <c r="N6" s="74"/>
      <c r="O6" s="75"/>
      <c r="P6" s="73"/>
      <c r="Q6" s="76"/>
      <c r="R6" s="76"/>
      <c r="S6" s="76"/>
      <c r="T6" s="76"/>
      <c r="U6" s="76"/>
      <c r="V6" s="76"/>
      <c r="W6" s="76"/>
      <c r="X6" s="76"/>
      <c r="Y6" s="76"/>
      <c r="Z6" s="77"/>
      <c r="AA6" s="77"/>
      <c r="AB6" s="77"/>
      <c r="AC6" s="77"/>
      <c r="AD6" s="77"/>
      <c r="AE6" s="77"/>
      <c r="AF6" s="77"/>
      <c r="AG6" s="77"/>
      <c r="AH6" s="78"/>
      <c r="AI6" s="78"/>
      <c r="AJ6" s="78"/>
      <c r="AK6" s="78"/>
      <c r="AL6" s="78"/>
      <c r="AM6" s="78"/>
      <c r="AN6" s="76"/>
      <c r="AO6" s="76"/>
      <c r="AP6" s="76"/>
      <c r="AQ6" s="76"/>
      <c r="AR6" s="76"/>
      <c r="AS6" s="76"/>
      <c r="AT6" s="76"/>
      <c r="AU6" s="76"/>
      <c r="AV6" s="76"/>
      <c r="AW6" s="79"/>
      <c r="AX6" s="79"/>
      <c r="AY6" s="79"/>
      <c r="AZ6" s="79"/>
      <c r="BA6" s="79"/>
      <c r="BB6" s="11"/>
      <c r="BC6" s="11"/>
      <c r="BD6" s="11"/>
      <c r="BE6" s="73"/>
      <c r="BF6" s="73"/>
      <c r="BG6" s="73"/>
      <c r="BH6" s="77"/>
      <c r="BI6" s="77"/>
      <c r="BJ6" s="77"/>
      <c r="BK6" s="77"/>
      <c r="BL6" s="77"/>
      <c r="BM6" s="77"/>
      <c r="BN6" s="158"/>
      <c r="BO6" s="158"/>
    </row>
    <row r="7" spans="1:67" ht="15" x14ac:dyDescent="0.25">
      <c r="A7" s="71"/>
      <c r="B7" s="11"/>
      <c r="C7" s="11"/>
      <c r="D7" s="11"/>
      <c r="E7" s="11"/>
      <c r="F7" s="11"/>
      <c r="G7" s="11"/>
      <c r="H7" s="11"/>
      <c r="I7" s="11"/>
      <c r="J7" s="249"/>
      <c r="K7" s="72"/>
      <c r="L7" s="73"/>
      <c r="M7" s="73"/>
      <c r="N7" s="74"/>
      <c r="O7" s="75"/>
      <c r="P7" s="73"/>
      <c r="Q7" s="76"/>
      <c r="R7" s="76"/>
      <c r="S7" s="76"/>
      <c r="T7" s="76"/>
      <c r="U7" s="76"/>
      <c r="V7" s="76"/>
      <c r="W7" s="76"/>
      <c r="X7" s="76"/>
      <c r="Y7" s="76"/>
      <c r="Z7" s="77"/>
      <c r="AA7" s="77"/>
      <c r="AB7" s="77"/>
      <c r="AC7" s="77"/>
      <c r="AD7" s="77"/>
      <c r="AE7" s="77"/>
      <c r="AF7" s="77"/>
      <c r="AG7" s="77"/>
      <c r="AH7" s="78"/>
      <c r="AI7" s="78"/>
      <c r="AJ7" s="78"/>
      <c r="AK7" s="78"/>
      <c r="AL7" s="78"/>
      <c r="AM7" s="78"/>
      <c r="AN7" s="76"/>
      <c r="AO7" s="76"/>
      <c r="AP7" s="76"/>
      <c r="AQ7" s="76"/>
      <c r="AR7" s="76"/>
      <c r="AS7" s="76"/>
      <c r="AT7" s="76"/>
      <c r="AU7" s="76"/>
      <c r="AV7" s="76"/>
      <c r="AW7" s="79"/>
      <c r="AX7" s="79"/>
      <c r="AY7" s="79"/>
      <c r="AZ7" s="79"/>
      <c r="BA7" s="79"/>
      <c r="BB7" s="11"/>
      <c r="BC7" s="11"/>
      <c r="BD7" s="11"/>
      <c r="BE7" s="73"/>
      <c r="BF7" s="73"/>
      <c r="BG7" s="73"/>
      <c r="BH7" s="77"/>
      <c r="BI7" s="77"/>
      <c r="BJ7" s="77"/>
      <c r="BK7" s="77"/>
      <c r="BL7" s="77"/>
      <c r="BM7" s="77"/>
      <c r="BN7" s="158"/>
      <c r="BO7" s="158"/>
    </row>
    <row r="8" spans="1:67" ht="30" customHeight="1" x14ac:dyDescent="0.25">
      <c r="A8" s="71"/>
      <c r="B8" s="11"/>
      <c r="C8" s="11"/>
      <c r="D8" s="11"/>
      <c r="E8" s="11"/>
      <c r="F8" s="11"/>
      <c r="G8" s="11"/>
      <c r="H8" s="11"/>
      <c r="I8" s="11"/>
      <c r="J8" s="249"/>
      <c r="K8" s="72"/>
      <c r="L8" s="73"/>
      <c r="M8" s="73"/>
      <c r="N8" s="74"/>
      <c r="O8" s="75"/>
      <c r="P8" s="73"/>
      <c r="Q8" s="76"/>
      <c r="R8" s="76"/>
      <c r="S8" s="76"/>
      <c r="T8" s="76"/>
      <c r="U8" s="76"/>
      <c r="V8" s="76"/>
      <c r="W8" s="76"/>
      <c r="X8" s="76"/>
      <c r="Y8" s="76"/>
      <c r="Z8" s="77"/>
      <c r="AA8" s="77"/>
      <c r="AB8" s="77"/>
      <c r="AC8" s="77"/>
      <c r="AD8" s="77"/>
      <c r="AE8" s="77"/>
      <c r="AF8" s="77"/>
      <c r="AG8" s="77"/>
      <c r="AH8" s="78"/>
      <c r="AI8" s="78"/>
      <c r="AJ8" s="78"/>
      <c r="AK8" s="78"/>
      <c r="AL8" s="78"/>
      <c r="AM8" s="78"/>
      <c r="AN8" s="76"/>
      <c r="AO8" s="76"/>
      <c r="AP8" s="76"/>
      <c r="AQ8" s="76"/>
      <c r="AR8" s="76"/>
      <c r="AS8" s="76"/>
      <c r="AT8" s="76"/>
      <c r="AU8" s="76"/>
      <c r="AV8" s="76"/>
      <c r="AW8" s="79"/>
      <c r="AX8" s="79"/>
      <c r="AY8" s="79"/>
      <c r="AZ8" s="79"/>
      <c r="BA8" s="79"/>
      <c r="BB8" s="11"/>
      <c r="BC8" s="11"/>
      <c r="BD8" s="11"/>
      <c r="BE8" s="73"/>
      <c r="BF8" s="73"/>
      <c r="BG8" s="73"/>
      <c r="BH8" s="77"/>
      <c r="BI8" s="77"/>
      <c r="BJ8" s="77"/>
      <c r="BK8" s="77"/>
      <c r="BL8" s="77"/>
      <c r="BM8" s="77"/>
      <c r="BN8" s="158"/>
      <c r="BO8" s="158"/>
    </row>
    <row r="9" spans="1:67" ht="53.25" customHeight="1" x14ac:dyDescent="0.25">
      <c r="A9" s="71"/>
      <c r="B9" s="11"/>
      <c r="C9" s="11"/>
      <c r="D9" s="11"/>
      <c r="E9" s="11"/>
      <c r="F9" s="11"/>
      <c r="G9" s="11"/>
      <c r="H9" s="11"/>
      <c r="I9" s="11"/>
      <c r="J9" s="249"/>
      <c r="K9" s="72"/>
      <c r="L9" s="73"/>
      <c r="M9" s="73"/>
      <c r="N9" s="74"/>
      <c r="O9" s="75"/>
      <c r="P9" s="73"/>
      <c r="Q9" s="76"/>
      <c r="R9" s="76"/>
      <c r="S9" s="76"/>
      <c r="T9" s="76"/>
      <c r="U9" s="76"/>
      <c r="V9" s="76"/>
      <c r="W9" s="76"/>
      <c r="X9" s="76"/>
      <c r="Y9" s="76"/>
      <c r="Z9" s="77"/>
      <c r="AA9" s="77"/>
      <c r="AB9" s="77"/>
      <c r="AC9" s="77"/>
      <c r="AD9" s="77"/>
      <c r="AE9" s="77"/>
      <c r="AF9" s="77"/>
      <c r="AG9" s="77"/>
      <c r="AH9" s="78"/>
      <c r="AI9" s="78"/>
      <c r="AJ9" s="78"/>
      <c r="AK9" s="78"/>
      <c r="AL9" s="78"/>
      <c r="AM9" s="78"/>
      <c r="AN9" s="76"/>
      <c r="AO9" s="76"/>
      <c r="AP9" s="76"/>
      <c r="AQ9" s="76"/>
      <c r="AR9" s="76"/>
      <c r="AS9" s="76"/>
      <c r="AT9" s="76"/>
      <c r="AU9" s="76"/>
      <c r="AV9" s="76"/>
      <c r="AW9" s="79"/>
      <c r="AX9" s="79"/>
      <c r="AY9" s="79"/>
      <c r="AZ9" s="79"/>
      <c r="BA9" s="79"/>
      <c r="BB9" s="11"/>
      <c r="BC9" s="11"/>
      <c r="BD9" s="11"/>
      <c r="BE9" s="73"/>
      <c r="BF9" s="73"/>
      <c r="BG9" s="73"/>
      <c r="BH9" s="77"/>
      <c r="BI9" s="77"/>
      <c r="BJ9" s="77"/>
      <c r="BK9" s="77"/>
      <c r="BL9" s="77"/>
      <c r="BM9" s="77"/>
      <c r="BN9" s="158"/>
      <c r="BO9" s="158"/>
    </row>
    <row r="10" spans="1:67" ht="15" x14ac:dyDescent="0.25">
      <c r="A10" s="71"/>
      <c r="B10" s="11"/>
      <c r="C10" s="11"/>
      <c r="D10" s="11"/>
      <c r="E10" s="11"/>
      <c r="F10" s="11"/>
      <c r="G10" s="11"/>
      <c r="H10" s="11"/>
      <c r="I10" s="11"/>
      <c r="J10" s="249"/>
      <c r="K10" s="72"/>
      <c r="L10" s="73"/>
      <c r="M10" s="73"/>
      <c r="N10" s="74"/>
      <c r="O10" s="75"/>
      <c r="P10" s="73"/>
      <c r="Q10" s="76"/>
      <c r="R10" s="76"/>
      <c r="S10" s="76"/>
      <c r="T10" s="76"/>
      <c r="U10" s="76"/>
      <c r="V10" s="76"/>
      <c r="W10" s="76"/>
      <c r="X10" s="76"/>
      <c r="Y10" s="76"/>
      <c r="Z10" s="77"/>
      <c r="AA10" s="77"/>
      <c r="AB10" s="77"/>
      <c r="AC10" s="77"/>
      <c r="AD10" s="77"/>
      <c r="AE10" s="77"/>
      <c r="AF10" s="77"/>
      <c r="AG10" s="77"/>
      <c r="AH10" s="78"/>
      <c r="AI10" s="78"/>
      <c r="AJ10" s="78"/>
      <c r="AK10" s="78"/>
      <c r="AL10" s="78"/>
      <c r="AM10" s="78"/>
      <c r="AN10" s="76"/>
      <c r="AO10" s="76"/>
      <c r="AP10" s="76"/>
      <c r="AQ10" s="76"/>
      <c r="AR10" s="76"/>
      <c r="AS10" s="76"/>
      <c r="AT10" s="76"/>
      <c r="AU10" s="76"/>
      <c r="AV10" s="76"/>
      <c r="AW10" s="79"/>
      <c r="AX10" s="79"/>
      <c r="AY10" s="79"/>
      <c r="AZ10" s="79"/>
      <c r="BA10" s="79"/>
      <c r="BB10" s="11"/>
      <c r="BC10" s="11"/>
      <c r="BD10" s="11"/>
      <c r="BE10" s="73"/>
      <c r="BF10" s="73"/>
      <c r="BG10" s="73"/>
      <c r="BH10" s="77"/>
      <c r="BI10" s="77"/>
      <c r="BJ10" s="77"/>
      <c r="BK10" s="77"/>
      <c r="BL10" s="77"/>
      <c r="BM10" s="77"/>
      <c r="BN10" s="158"/>
      <c r="BO10" s="158"/>
    </row>
    <row r="11" spans="1:67" ht="15" x14ac:dyDescent="0.25">
      <c r="A11" s="71"/>
      <c r="B11" s="11"/>
      <c r="C11" s="11"/>
      <c r="D11" s="11"/>
      <c r="E11" s="11"/>
      <c r="F11" s="11"/>
      <c r="G11" s="11"/>
      <c r="H11" s="11"/>
      <c r="I11" s="11"/>
      <c r="J11" s="249"/>
      <c r="K11" s="72"/>
      <c r="L11" s="73"/>
      <c r="M11" s="73"/>
      <c r="N11" s="74"/>
      <c r="O11" s="75"/>
      <c r="P11" s="73"/>
      <c r="Q11" s="76"/>
      <c r="R11" s="76"/>
      <c r="S11" s="76"/>
      <c r="T11" s="76"/>
      <c r="U11" s="76"/>
      <c r="V11" s="76"/>
      <c r="W11" s="76"/>
      <c r="X11" s="76"/>
      <c r="Y11" s="76"/>
      <c r="Z11" s="77"/>
      <c r="AA11" s="77"/>
      <c r="AB11" s="77"/>
      <c r="AC11" s="77"/>
      <c r="AD11" s="77"/>
      <c r="AE11" s="77"/>
      <c r="AF11" s="77"/>
      <c r="AG11" s="77"/>
      <c r="AH11" s="78"/>
      <c r="AI11" s="78"/>
      <c r="AJ11" s="78"/>
      <c r="AK11" s="78"/>
      <c r="AL11" s="78"/>
      <c r="AM11" s="78"/>
      <c r="AN11" s="76"/>
      <c r="AO11" s="76"/>
      <c r="AP11" s="76"/>
      <c r="AQ11" s="76"/>
      <c r="AR11" s="76"/>
      <c r="AS11" s="76"/>
      <c r="AT11" s="76"/>
      <c r="AU11" s="76"/>
      <c r="AV11" s="76"/>
      <c r="AW11" s="79"/>
      <c r="AX11" s="79"/>
      <c r="AY11" s="79"/>
      <c r="AZ11" s="79"/>
      <c r="BA11" s="79"/>
      <c r="BB11" s="11"/>
      <c r="BC11" s="11"/>
      <c r="BD11" s="11"/>
      <c r="BE11" s="73"/>
      <c r="BF11" s="73"/>
      <c r="BG11" s="73"/>
      <c r="BH11" s="77"/>
      <c r="BI11" s="77"/>
      <c r="BJ11" s="77"/>
      <c r="BK11" s="77"/>
      <c r="BL11" s="77"/>
      <c r="BM11" s="77"/>
      <c r="BN11" s="158"/>
      <c r="BO11" s="158"/>
    </row>
    <row r="12" spans="1:67" ht="15" x14ac:dyDescent="0.25">
      <c r="A12" s="71"/>
      <c r="B12" s="11"/>
      <c r="C12" s="11"/>
      <c r="D12" s="11"/>
      <c r="E12" s="11"/>
      <c r="F12" s="11"/>
      <c r="G12" s="11"/>
      <c r="H12" s="11"/>
      <c r="I12" s="11"/>
      <c r="J12" s="249"/>
      <c r="K12" s="72"/>
      <c r="L12" s="73"/>
      <c r="M12" s="73"/>
      <c r="N12" s="74"/>
      <c r="O12" s="75"/>
      <c r="P12" s="73"/>
      <c r="Q12" s="76"/>
      <c r="R12" s="76"/>
      <c r="S12" s="76"/>
      <c r="T12" s="76"/>
      <c r="U12" s="76"/>
      <c r="V12" s="76"/>
      <c r="W12" s="76"/>
      <c r="X12" s="76"/>
      <c r="Y12" s="76"/>
      <c r="Z12" s="77"/>
      <c r="AA12" s="77"/>
      <c r="AB12" s="77"/>
      <c r="AC12" s="77"/>
      <c r="AD12" s="77"/>
      <c r="AE12" s="77"/>
      <c r="AF12" s="77"/>
      <c r="AG12" s="77"/>
      <c r="AH12" s="78"/>
      <c r="AI12" s="78"/>
      <c r="AJ12" s="78"/>
      <c r="AK12" s="78"/>
      <c r="AL12" s="78"/>
      <c r="AM12" s="78"/>
      <c r="AN12" s="76"/>
      <c r="AO12" s="76"/>
      <c r="AP12" s="76"/>
      <c r="AQ12" s="76"/>
      <c r="AR12" s="76"/>
      <c r="AS12" s="76"/>
      <c r="AT12" s="76"/>
      <c r="AU12" s="76"/>
      <c r="AV12" s="76"/>
      <c r="AW12" s="79"/>
      <c r="AX12" s="79"/>
      <c r="AY12" s="79"/>
      <c r="AZ12" s="79"/>
      <c r="BA12" s="79"/>
      <c r="BB12" s="11"/>
      <c r="BC12" s="11"/>
      <c r="BD12" s="11"/>
      <c r="BE12" s="73"/>
      <c r="BF12" s="73"/>
      <c r="BG12" s="73"/>
      <c r="BH12" s="77"/>
      <c r="BI12" s="77"/>
      <c r="BJ12" s="77"/>
      <c r="BK12" s="77"/>
      <c r="BL12" s="77"/>
      <c r="BM12" s="77"/>
      <c r="BN12" s="158"/>
      <c r="BO12" s="158"/>
    </row>
    <row r="13" spans="1:67" ht="15" x14ac:dyDescent="0.25">
      <c r="A13" s="71"/>
      <c r="B13" s="11"/>
      <c r="C13" s="11"/>
      <c r="D13" s="11"/>
      <c r="E13" s="11"/>
      <c r="F13" s="11"/>
      <c r="G13" s="11"/>
      <c r="H13" s="11"/>
      <c r="I13" s="11"/>
      <c r="J13" s="249"/>
      <c r="K13" s="72"/>
      <c r="L13" s="73"/>
      <c r="M13" s="73"/>
      <c r="N13" s="74"/>
      <c r="O13" s="75"/>
      <c r="P13" s="73"/>
      <c r="Q13" s="76"/>
      <c r="R13" s="76"/>
      <c r="S13" s="76"/>
      <c r="T13" s="76"/>
      <c r="U13" s="76"/>
      <c r="V13" s="76"/>
      <c r="W13" s="76"/>
      <c r="X13" s="76"/>
      <c r="Y13" s="76"/>
      <c r="Z13" s="77"/>
      <c r="AA13" s="77"/>
      <c r="AB13" s="77"/>
      <c r="AC13" s="77"/>
      <c r="AD13" s="77"/>
      <c r="AE13" s="77"/>
      <c r="AF13" s="77"/>
      <c r="AG13" s="77"/>
      <c r="AH13" s="78"/>
      <c r="AI13" s="78"/>
      <c r="AJ13" s="78"/>
      <c r="AK13" s="78"/>
      <c r="AL13" s="78"/>
      <c r="AM13" s="78"/>
      <c r="AN13" s="76"/>
      <c r="AO13" s="76"/>
      <c r="AP13" s="76"/>
      <c r="AQ13" s="76"/>
      <c r="AR13" s="76"/>
      <c r="AS13" s="76"/>
      <c r="AT13" s="76"/>
      <c r="AU13" s="76"/>
      <c r="AV13" s="76"/>
      <c r="AW13" s="79"/>
      <c r="AX13" s="79"/>
      <c r="AY13" s="79"/>
      <c r="AZ13" s="79"/>
      <c r="BA13" s="79"/>
      <c r="BB13" s="11"/>
      <c r="BC13" s="11"/>
      <c r="BD13" s="11"/>
      <c r="BE13" s="73"/>
      <c r="BF13" s="73"/>
      <c r="BG13" s="73"/>
      <c r="BH13" s="77"/>
      <c r="BI13" s="77"/>
      <c r="BJ13" s="77"/>
      <c r="BK13" s="77"/>
      <c r="BL13" s="77"/>
      <c r="BM13" s="77"/>
      <c r="BN13" s="158"/>
      <c r="BO13" s="158"/>
    </row>
    <row r="14" spans="1:67" ht="15" x14ac:dyDescent="0.25">
      <c r="A14" s="71"/>
      <c r="B14" s="11"/>
      <c r="C14" s="11"/>
      <c r="D14" s="11"/>
      <c r="E14" s="11"/>
      <c r="F14" s="11"/>
      <c r="G14" s="11"/>
      <c r="H14" s="11"/>
      <c r="I14" s="11"/>
      <c r="J14" s="249"/>
      <c r="K14" s="72"/>
      <c r="L14" s="73"/>
      <c r="M14" s="73"/>
      <c r="N14" s="74"/>
      <c r="O14" s="75"/>
      <c r="P14" s="73"/>
      <c r="Q14" s="76"/>
      <c r="R14" s="76"/>
      <c r="S14" s="76"/>
      <c r="T14" s="76"/>
      <c r="U14" s="76"/>
      <c r="V14" s="76"/>
      <c r="W14" s="76"/>
      <c r="X14" s="76"/>
      <c r="Y14" s="76"/>
      <c r="Z14" s="77"/>
      <c r="AA14" s="77"/>
      <c r="AB14" s="77"/>
      <c r="AC14" s="77"/>
      <c r="AD14" s="77"/>
      <c r="AE14" s="77"/>
      <c r="AF14" s="77"/>
      <c r="AG14" s="77"/>
      <c r="AH14" s="78"/>
      <c r="AI14" s="78"/>
      <c r="AJ14" s="78"/>
      <c r="AK14" s="78"/>
      <c r="AL14" s="78"/>
      <c r="AM14" s="78"/>
      <c r="AN14" s="76"/>
      <c r="AO14" s="76"/>
      <c r="AP14" s="76"/>
      <c r="AQ14" s="76"/>
      <c r="AR14" s="76"/>
      <c r="AS14" s="76"/>
      <c r="AT14" s="76"/>
      <c r="AU14" s="76"/>
      <c r="AV14" s="76"/>
      <c r="AW14" s="79"/>
      <c r="AX14" s="79"/>
      <c r="AY14" s="79"/>
      <c r="AZ14" s="79"/>
      <c r="BA14" s="79"/>
      <c r="BB14" s="11"/>
      <c r="BC14" s="11"/>
      <c r="BD14" s="11"/>
      <c r="BE14" s="73"/>
      <c r="BF14" s="73"/>
      <c r="BG14" s="73"/>
      <c r="BH14" s="77"/>
      <c r="BI14" s="77"/>
      <c r="BJ14" s="77"/>
      <c r="BK14" s="77"/>
      <c r="BL14" s="77"/>
      <c r="BM14" s="77"/>
      <c r="BN14" s="158"/>
      <c r="BO14" s="158"/>
    </row>
    <row r="15" spans="1:67" ht="15" x14ac:dyDescent="0.25">
      <c r="A15" s="71"/>
      <c r="B15" s="11"/>
      <c r="C15" s="11"/>
      <c r="D15" s="11"/>
      <c r="E15" s="11"/>
      <c r="F15" s="11"/>
      <c r="G15" s="11"/>
      <c r="H15" s="11"/>
      <c r="I15" s="11"/>
      <c r="J15" s="249"/>
      <c r="K15" s="72"/>
      <c r="L15" s="73"/>
      <c r="M15" s="73"/>
      <c r="N15" s="74"/>
      <c r="O15" s="75"/>
      <c r="P15" s="73"/>
      <c r="Q15" s="76"/>
      <c r="R15" s="76"/>
      <c r="S15" s="76"/>
      <c r="T15" s="76"/>
      <c r="U15" s="76"/>
      <c r="V15" s="76"/>
      <c r="W15" s="76"/>
      <c r="X15" s="76"/>
      <c r="Y15" s="76"/>
      <c r="Z15" s="77"/>
      <c r="AA15" s="77"/>
      <c r="AB15" s="77"/>
      <c r="AC15" s="77"/>
      <c r="AD15" s="77"/>
      <c r="AE15" s="77"/>
      <c r="AF15" s="77"/>
      <c r="AG15" s="77"/>
      <c r="AH15" s="78"/>
      <c r="AI15" s="78"/>
      <c r="AJ15" s="78"/>
      <c r="AK15" s="78"/>
      <c r="AL15" s="78"/>
      <c r="AM15" s="78"/>
      <c r="AN15" s="76"/>
      <c r="AO15" s="76"/>
      <c r="AP15" s="76"/>
      <c r="AQ15" s="76"/>
      <c r="AR15" s="76"/>
      <c r="AS15" s="76"/>
      <c r="AT15" s="76"/>
      <c r="AU15" s="76"/>
      <c r="AV15" s="76"/>
      <c r="AW15" s="79"/>
      <c r="AX15" s="79"/>
      <c r="AY15" s="79"/>
      <c r="AZ15" s="79"/>
      <c r="BA15" s="79"/>
      <c r="BB15" s="11"/>
      <c r="BC15" s="11"/>
      <c r="BD15" s="11"/>
      <c r="BE15" s="73"/>
      <c r="BF15" s="73"/>
      <c r="BG15" s="73"/>
      <c r="BH15" s="77"/>
      <c r="BI15" s="77"/>
      <c r="BJ15" s="77"/>
      <c r="BK15" s="77"/>
      <c r="BL15" s="77"/>
      <c r="BM15" s="77"/>
      <c r="BN15" s="158"/>
      <c r="BO15" s="158"/>
    </row>
    <row r="16" spans="1:67" ht="15" x14ac:dyDescent="0.25">
      <c r="A16" s="71"/>
      <c r="B16" s="11"/>
      <c r="C16" s="11"/>
      <c r="D16" s="11"/>
      <c r="E16" s="11"/>
      <c r="F16" s="11"/>
      <c r="G16" s="11"/>
      <c r="H16" s="11"/>
      <c r="I16" s="11"/>
      <c r="J16" s="249"/>
      <c r="K16" s="72"/>
      <c r="L16" s="73"/>
      <c r="M16" s="73"/>
      <c r="N16" s="74"/>
      <c r="O16" s="75"/>
      <c r="P16" s="73"/>
      <c r="Q16" s="76"/>
      <c r="R16" s="76"/>
      <c r="S16" s="76"/>
      <c r="T16" s="76"/>
      <c r="U16" s="76"/>
      <c r="V16" s="76"/>
      <c r="W16" s="76"/>
      <c r="X16" s="76"/>
      <c r="Y16" s="76"/>
      <c r="Z16" s="77"/>
      <c r="AA16" s="77"/>
      <c r="AB16" s="77"/>
      <c r="AC16" s="77"/>
      <c r="AD16" s="77"/>
      <c r="AE16" s="77"/>
      <c r="AF16" s="77"/>
      <c r="AG16" s="77"/>
      <c r="AH16" s="78"/>
      <c r="AI16" s="78"/>
      <c r="AJ16" s="78"/>
      <c r="AK16" s="78"/>
      <c r="AL16" s="78"/>
      <c r="AM16" s="78"/>
      <c r="AN16" s="76"/>
      <c r="AO16" s="76"/>
      <c r="AP16" s="76"/>
      <c r="AQ16" s="76"/>
      <c r="AR16" s="76"/>
      <c r="AS16" s="76"/>
      <c r="AT16" s="76"/>
      <c r="AU16" s="76"/>
      <c r="AV16" s="76"/>
      <c r="AW16" s="79"/>
      <c r="AX16" s="79"/>
      <c r="AY16" s="79"/>
      <c r="AZ16" s="79"/>
      <c r="BA16" s="79"/>
      <c r="BB16" s="11"/>
      <c r="BC16" s="11"/>
      <c r="BD16" s="11"/>
      <c r="BE16" s="73"/>
      <c r="BF16" s="73"/>
      <c r="BG16" s="73"/>
      <c r="BH16" s="77"/>
      <c r="BI16" s="77"/>
      <c r="BJ16" s="77"/>
      <c r="BK16" s="77"/>
      <c r="BL16" s="77"/>
      <c r="BM16" s="77"/>
      <c r="BN16" s="158"/>
      <c r="BO16" s="158"/>
    </row>
    <row r="17" spans="1:67" ht="15" x14ac:dyDescent="0.25">
      <c r="A17" s="71"/>
      <c r="B17" s="11"/>
      <c r="C17" s="11"/>
      <c r="D17" s="11"/>
      <c r="E17" s="11"/>
      <c r="F17" s="11"/>
      <c r="G17" s="11"/>
      <c r="H17" s="11"/>
      <c r="I17" s="11"/>
      <c r="J17" s="249"/>
      <c r="K17" s="72"/>
      <c r="L17" s="73"/>
      <c r="M17" s="73"/>
      <c r="N17" s="74"/>
      <c r="O17" s="75"/>
      <c r="P17" s="73"/>
      <c r="Q17" s="76"/>
      <c r="R17" s="76"/>
      <c r="S17" s="76"/>
      <c r="T17" s="76"/>
      <c r="U17" s="76"/>
      <c r="V17" s="76"/>
      <c r="W17" s="76"/>
      <c r="X17" s="76"/>
      <c r="Y17" s="76"/>
      <c r="Z17" s="77"/>
      <c r="AA17" s="77"/>
      <c r="AB17" s="77"/>
      <c r="AC17" s="77"/>
      <c r="AD17" s="77"/>
      <c r="AE17" s="77"/>
      <c r="AF17" s="77"/>
      <c r="AG17" s="77"/>
      <c r="AH17" s="78"/>
      <c r="AI17" s="78"/>
      <c r="AJ17" s="78"/>
      <c r="AK17" s="78"/>
      <c r="AL17" s="78"/>
      <c r="AM17" s="78"/>
      <c r="AN17" s="76"/>
      <c r="AO17" s="76"/>
      <c r="AP17" s="76"/>
      <c r="AQ17" s="76"/>
      <c r="AR17" s="76"/>
      <c r="AS17" s="76"/>
      <c r="AT17" s="76"/>
      <c r="AU17" s="76"/>
      <c r="AV17" s="76"/>
      <c r="AW17" s="79"/>
      <c r="AX17" s="79"/>
      <c r="AY17" s="79"/>
      <c r="AZ17" s="79"/>
      <c r="BA17" s="79"/>
      <c r="BB17" s="11"/>
      <c r="BC17" s="11"/>
      <c r="BD17" s="11"/>
      <c r="BE17" s="73"/>
      <c r="BF17" s="73"/>
      <c r="BG17" s="73"/>
      <c r="BH17" s="77"/>
      <c r="BI17" s="77"/>
      <c r="BJ17" s="77"/>
      <c r="BK17" s="77"/>
      <c r="BL17" s="77"/>
      <c r="BM17" s="77"/>
      <c r="BN17" s="158"/>
      <c r="BO17" s="158"/>
    </row>
    <row r="18" spans="1:67" ht="15" x14ac:dyDescent="0.25">
      <c r="A18" s="71"/>
      <c r="B18" s="11"/>
      <c r="C18" s="11"/>
      <c r="D18" s="11"/>
      <c r="E18" s="11"/>
      <c r="F18" s="11"/>
      <c r="G18" s="11"/>
      <c r="H18" s="11"/>
      <c r="I18" s="11"/>
      <c r="J18" s="249"/>
      <c r="K18" s="72"/>
      <c r="L18" s="73"/>
      <c r="M18" s="73"/>
      <c r="N18" s="74"/>
      <c r="O18" s="75"/>
      <c r="P18" s="73"/>
      <c r="Q18" s="76"/>
      <c r="R18" s="76"/>
      <c r="S18" s="76"/>
      <c r="T18" s="76"/>
      <c r="U18" s="76"/>
      <c r="V18" s="76"/>
      <c r="W18" s="76"/>
      <c r="X18" s="76"/>
      <c r="Y18" s="76"/>
      <c r="Z18" s="77"/>
      <c r="AA18" s="77"/>
      <c r="AB18" s="77"/>
      <c r="AC18" s="77"/>
      <c r="AD18" s="77"/>
      <c r="AE18" s="77"/>
      <c r="AF18" s="77"/>
      <c r="AG18" s="77"/>
      <c r="AH18" s="78"/>
      <c r="AI18" s="78"/>
      <c r="AJ18" s="78"/>
      <c r="AK18" s="78"/>
      <c r="AL18" s="78"/>
      <c r="AM18" s="78"/>
      <c r="AN18" s="76"/>
      <c r="AO18" s="76"/>
      <c r="AP18" s="76"/>
      <c r="AQ18" s="76"/>
      <c r="AR18" s="76"/>
      <c r="AS18" s="76"/>
      <c r="AT18" s="76"/>
      <c r="AU18" s="76"/>
      <c r="AV18" s="76"/>
      <c r="AW18" s="79"/>
      <c r="AX18" s="79"/>
      <c r="AY18" s="79"/>
      <c r="AZ18" s="79"/>
      <c r="BA18" s="79"/>
      <c r="BB18" s="11"/>
      <c r="BC18" s="11"/>
      <c r="BD18" s="11"/>
      <c r="BE18" s="73"/>
      <c r="BF18" s="73"/>
      <c r="BG18" s="73"/>
      <c r="BH18" s="77"/>
      <c r="BI18" s="77"/>
      <c r="BJ18" s="77"/>
      <c r="BK18" s="77"/>
      <c r="BL18" s="77"/>
      <c r="BM18" s="77"/>
      <c r="BN18" s="158"/>
      <c r="BO18" s="158"/>
    </row>
    <row r="19" spans="1:67" ht="15" x14ac:dyDescent="0.25">
      <c r="A19" s="71"/>
      <c r="B19" s="11"/>
      <c r="C19" s="11"/>
      <c r="D19" s="11"/>
      <c r="E19" s="11"/>
      <c r="F19" s="11"/>
      <c r="G19" s="11"/>
      <c r="H19" s="11"/>
      <c r="I19" s="11"/>
      <c r="J19" s="249"/>
      <c r="K19" s="72"/>
      <c r="L19" s="73"/>
      <c r="M19" s="73"/>
      <c r="N19" s="74"/>
      <c r="O19" s="75"/>
      <c r="P19" s="73"/>
      <c r="Q19" s="76"/>
      <c r="R19" s="76"/>
      <c r="S19" s="76"/>
      <c r="T19" s="76"/>
      <c r="U19" s="76"/>
      <c r="V19" s="76"/>
      <c r="W19" s="76"/>
      <c r="X19" s="76"/>
      <c r="Y19" s="76"/>
      <c r="Z19" s="77"/>
      <c r="AA19" s="77"/>
      <c r="AB19" s="77"/>
      <c r="AC19" s="77"/>
      <c r="AD19" s="77"/>
      <c r="AE19" s="77"/>
      <c r="AF19" s="77"/>
      <c r="AG19" s="77"/>
      <c r="AH19" s="78"/>
      <c r="AI19" s="78"/>
      <c r="AJ19" s="78"/>
      <c r="AK19" s="78"/>
      <c r="AL19" s="78"/>
      <c r="AM19" s="78"/>
      <c r="AN19" s="76"/>
      <c r="AO19" s="76"/>
      <c r="AP19" s="76"/>
      <c r="AQ19" s="76"/>
      <c r="AR19" s="76"/>
      <c r="AS19" s="76"/>
      <c r="AT19" s="76"/>
      <c r="AU19" s="76"/>
      <c r="AV19" s="76"/>
      <c r="AW19" s="79"/>
      <c r="AX19" s="79"/>
      <c r="AY19" s="79"/>
      <c r="AZ19" s="79"/>
      <c r="BA19" s="79"/>
      <c r="BB19" s="11"/>
      <c r="BC19" s="11"/>
      <c r="BD19" s="11"/>
      <c r="BE19" s="73"/>
      <c r="BF19" s="73"/>
      <c r="BG19" s="73"/>
      <c r="BH19" s="77"/>
      <c r="BI19" s="77"/>
      <c r="BJ19" s="77"/>
      <c r="BK19" s="77"/>
      <c r="BL19" s="77"/>
      <c r="BM19" s="77"/>
      <c r="BN19" s="158"/>
      <c r="BO19" s="158"/>
    </row>
    <row r="20" spans="1:67" ht="15" x14ac:dyDescent="0.25">
      <c r="A20" s="71"/>
      <c r="B20" s="11"/>
      <c r="C20" s="11"/>
      <c r="D20" s="11"/>
      <c r="E20" s="11"/>
      <c r="F20" s="11"/>
      <c r="G20" s="11"/>
      <c r="H20" s="11"/>
      <c r="I20" s="11"/>
      <c r="J20" s="249"/>
      <c r="K20" s="72"/>
      <c r="L20" s="73"/>
      <c r="M20" s="73"/>
      <c r="N20" s="74"/>
      <c r="O20" s="75"/>
      <c r="P20" s="73"/>
      <c r="Q20" s="76"/>
      <c r="R20" s="76"/>
      <c r="S20" s="76"/>
      <c r="T20" s="76"/>
      <c r="U20" s="76"/>
      <c r="V20" s="76"/>
      <c r="W20" s="76"/>
      <c r="X20" s="76"/>
      <c r="Y20" s="76"/>
      <c r="Z20" s="77"/>
      <c r="AA20" s="77"/>
      <c r="AB20" s="77"/>
      <c r="AC20" s="77"/>
      <c r="AD20" s="77"/>
      <c r="AE20" s="77"/>
      <c r="AF20" s="77"/>
      <c r="AG20" s="77"/>
      <c r="AH20" s="78"/>
      <c r="AI20" s="78"/>
      <c r="AJ20" s="78"/>
      <c r="AK20" s="78"/>
      <c r="AL20" s="78"/>
      <c r="AM20" s="78"/>
      <c r="AN20" s="76"/>
      <c r="AO20" s="76"/>
      <c r="AP20" s="76"/>
      <c r="AQ20" s="76"/>
      <c r="AR20" s="76"/>
      <c r="AS20" s="76"/>
      <c r="AT20" s="76"/>
      <c r="AU20" s="76"/>
      <c r="AV20" s="76"/>
      <c r="AW20" s="79"/>
      <c r="AX20" s="79"/>
      <c r="AY20" s="79"/>
      <c r="AZ20" s="79"/>
      <c r="BA20" s="79"/>
      <c r="BB20" s="11"/>
      <c r="BC20" s="11"/>
      <c r="BD20" s="11"/>
      <c r="BE20" s="73"/>
      <c r="BF20" s="73"/>
      <c r="BG20" s="73"/>
      <c r="BH20" s="77"/>
      <c r="BI20" s="77"/>
      <c r="BJ20" s="77"/>
      <c r="BK20" s="77"/>
      <c r="BL20" s="77"/>
      <c r="BM20" s="77"/>
      <c r="BN20" s="158"/>
      <c r="BO20" s="158"/>
    </row>
    <row r="21" spans="1:67" ht="15" x14ac:dyDescent="0.25">
      <c r="A21" s="71"/>
      <c r="B21" s="11"/>
      <c r="C21" s="11"/>
      <c r="D21" s="11"/>
      <c r="E21" s="11"/>
      <c r="F21" s="11"/>
      <c r="G21" s="11"/>
      <c r="H21" s="11"/>
      <c r="I21" s="11"/>
      <c r="J21" s="249"/>
      <c r="K21" s="72"/>
      <c r="L21" s="73"/>
      <c r="M21" s="73"/>
      <c r="N21" s="74"/>
      <c r="O21" s="75"/>
      <c r="P21" s="73"/>
      <c r="Q21" s="76"/>
      <c r="R21" s="76"/>
      <c r="S21" s="76"/>
      <c r="T21" s="76"/>
      <c r="U21" s="76"/>
      <c r="V21" s="76"/>
      <c r="W21" s="76"/>
      <c r="X21" s="76"/>
      <c r="Y21" s="76"/>
      <c r="Z21" s="77"/>
      <c r="AA21" s="77"/>
      <c r="AB21" s="77"/>
      <c r="AC21" s="77"/>
      <c r="AD21" s="77"/>
      <c r="AE21" s="77"/>
      <c r="AF21" s="77"/>
      <c r="AG21" s="77"/>
      <c r="AH21" s="78"/>
      <c r="AI21" s="78"/>
      <c r="AJ21" s="78"/>
      <c r="AK21" s="78"/>
      <c r="AL21" s="78"/>
      <c r="AM21" s="78"/>
      <c r="AN21" s="76"/>
      <c r="AO21" s="76"/>
      <c r="AP21" s="76"/>
      <c r="AQ21" s="76"/>
      <c r="AR21" s="76"/>
      <c r="AS21" s="76"/>
      <c r="AT21" s="76"/>
      <c r="AU21" s="76"/>
      <c r="AV21" s="76"/>
      <c r="AW21" s="79"/>
      <c r="AX21" s="79"/>
      <c r="AY21" s="79"/>
      <c r="AZ21" s="79"/>
      <c r="BA21" s="79"/>
      <c r="BB21" s="11"/>
      <c r="BC21" s="11"/>
      <c r="BD21" s="11"/>
      <c r="BE21" s="73"/>
      <c r="BF21" s="73"/>
      <c r="BG21" s="73"/>
      <c r="BH21" s="77"/>
      <c r="BI21" s="77"/>
      <c r="BJ21" s="77"/>
      <c r="BK21" s="77"/>
      <c r="BL21" s="77"/>
      <c r="BM21" s="77"/>
      <c r="BN21" s="158"/>
      <c r="BO21" s="158"/>
    </row>
    <row r="22" spans="1:67" ht="15" x14ac:dyDescent="0.25">
      <c r="A22" s="71"/>
      <c r="B22" s="11"/>
      <c r="C22" s="11"/>
      <c r="D22" s="11"/>
      <c r="E22" s="11"/>
      <c r="F22" s="11"/>
      <c r="G22" s="11"/>
      <c r="H22" s="11"/>
      <c r="I22" s="11"/>
      <c r="J22" s="249"/>
      <c r="K22" s="72"/>
      <c r="L22" s="73"/>
      <c r="M22" s="73"/>
      <c r="N22" s="74"/>
      <c r="O22" s="75"/>
      <c r="P22" s="73"/>
      <c r="Q22" s="76"/>
      <c r="R22" s="76"/>
      <c r="S22" s="76"/>
      <c r="T22" s="76"/>
      <c r="U22" s="76"/>
      <c r="V22" s="76"/>
      <c r="W22" s="76"/>
      <c r="X22" s="76"/>
      <c r="Y22" s="76"/>
      <c r="Z22" s="77"/>
      <c r="AA22" s="77"/>
      <c r="AB22" s="77"/>
      <c r="AC22" s="77"/>
      <c r="AD22" s="77"/>
      <c r="AE22" s="77"/>
      <c r="AF22" s="77"/>
      <c r="AG22" s="77"/>
      <c r="AH22" s="78"/>
      <c r="AI22" s="78"/>
      <c r="AJ22" s="78"/>
      <c r="AK22" s="78"/>
      <c r="AL22" s="78"/>
      <c r="AM22" s="78"/>
      <c r="AN22" s="76"/>
      <c r="AO22" s="76"/>
      <c r="AP22" s="76"/>
      <c r="AQ22" s="76"/>
      <c r="AR22" s="76"/>
      <c r="AS22" s="76"/>
      <c r="AT22" s="76"/>
      <c r="AU22" s="76"/>
      <c r="AV22" s="76"/>
      <c r="AW22" s="79"/>
      <c r="AX22" s="79"/>
      <c r="AY22" s="79"/>
      <c r="AZ22" s="79"/>
      <c r="BA22" s="79"/>
      <c r="BB22" s="11"/>
      <c r="BC22" s="11"/>
      <c r="BD22" s="11"/>
      <c r="BE22" s="73"/>
      <c r="BF22" s="73"/>
      <c r="BG22" s="73"/>
      <c r="BH22" s="77"/>
      <c r="BI22" s="77"/>
      <c r="BJ22" s="77"/>
      <c r="BK22" s="77"/>
      <c r="BL22" s="77"/>
      <c r="BM22" s="77"/>
      <c r="BN22" s="158"/>
      <c r="BO22" s="158"/>
    </row>
    <row r="23" spans="1:67" ht="15" x14ac:dyDescent="0.25">
      <c r="A23" s="71"/>
      <c r="B23" s="11"/>
      <c r="C23" s="11"/>
      <c r="D23" s="11"/>
      <c r="E23" s="11"/>
      <c r="F23" s="11"/>
      <c r="G23" s="11"/>
      <c r="H23" s="11"/>
      <c r="I23" s="11"/>
      <c r="J23" s="249"/>
      <c r="K23" s="72"/>
      <c r="L23" s="73"/>
      <c r="M23" s="73"/>
      <c r="N23" s="74"/>
      <c r="O23" s="75"/>
      <c r="P23" s="73"/>
      <c r="Q23" s="76"/>
      <c r="R23" s="76"/>
      <c r="S23" s="76"/>
      <c r="T23" s="76"/>
      <c r="U23" s="76"/>
      <c r="V23" s="76"/>
      <c r="W23" s="76"/>
      <c r="X23" s="76"/>
      <c r="Y23" s="76"/>
      <c r="Z23" s="77"/>
      <c r="AA23" s="77"/>
      <c r="AB23" s="77"/>
      <c r="AC23" s="77"/>
      <c r="AD23" s="77"/>
      <c r="AE23" s="77"/>
      <c r="AF23" s="77"/>
      <c r="AG23" s="77"/>
      <c r="AH23" s="78"/>
      <c r="AI23" s="78"/>
      <c r="AJ23" s="78"/>
      <c r="AK23" s="78"/>
      <c r="AL23" s="78"/>
      <c r="AM23" s="78"/>
      <c r="AN23" s="76"/>
      <c r="AO23" s="76"/>
      <c r="AP23" s="76"/>
      <c r="AQ23" s="76"/>
      <c r="AR23" s="76"/>
      <c r="AS23" s="76"/>
      <c r="AT23" s="76"/>
      <c r="AU23" s="76"/>
      <c r="AV23" s="76"/>
      <c r="AW23" s="79"/>
      <c r="AX23" s="79"/>
      <c r="AY23" s="79"/>
      <c r="AZ23" s="79"/>
      <c r="BA23" s="79"/>
      <c r="BB23" s="11"/>
      <c r="BC23" s="11"/>
      <c r="BD23" s="11"/>
      <c r="BE23" s="73"/>
      <c r="BF23" s="73"/>
      <c r="BG23" s="73"/>
      <c r="BH23" s="77"/>
      <c r="BI23" s="77"/>
      <c r="BJ23" s="77"/>
      <c r="BK23" s="77"/>
      <c r="BL23" s="77"/>
      <c r="BM23" s="77"/>
      <c r="BN23" s="158"/>
      <c r="BO23" s="158"/>
    </row>
    <row r="24" spans="1:67" ht="15" x14ac:dyDescent="0.25">
      <c r="A24" s="71"/>
      <c r="B24" s="11"/>
      <c r="C24" s="11"/>
      <c r="D24" s="11"/>
      <c r="E24" s="11"/>
      <c r="F24" s="11"/>
      <c r="G24" s="11"/>
      <c r="H24" s="11"/>
      <c r="I24" s="11"/>
      <c r="J24" s="249"/>
      <c r="K24" s="72"/>
      <c r="L24" s="73"/>
      <c r="M24" s="73"/>
      <c r="N24" s="74"/>
      <c r="O24" s="75"/>
      <c r="P24" s="73"/>
      <c r="Q24" s="76"/>
      <c r="R24" s="76"/>
      <c r="S24" s="76"/>
      <c r="T24" s="76"/>
      <c r="U24" s="76"/>
      <c r="V24" s="76"/>
      <c r="W24" s="76"/>
      <c r="X24" s="76"/>
      <c r="Y24" s="76"/>
      <c r="Z24" s="77"/>
      <c r="AA24" s="77"/>
      <c r="AB24" s="77"/>
      <c r="AC24" s="77"/>
      <c r="AD24" s="77"/>
      <c r="AE24" s="77"/>
      <c r="AF24" s="77"/>
      <c r="AG24" s="77"/>
      <c r="AH24" s="78"/>
      <c r="AI24" s="78"/>
      <c r="AJ24" s="78"/>
      <c r="AK24" s="78"/>
      <c r="AL24" s="78"/>
      <c r="AM24" s="78"/>
      <c r="AN24" s="76"/>
      <c r="AO24" s="76"/>
      <c r="AP24" s="76"/>
      <c r="AQ24" s="76"/>
      <c r="AR24" s="76"/>
      <c r="AS24" s="76"/>
      <c r="AT24" s="76"/>
      <c r="AU24" s="76"/>
      <c r="AV24" s="76"/>
      <c r="AW24" s="79"/>
      <c r="AX24" s="79"/>
      <c r="AY24" s="79"/>
      <c r="AZ24" s="79"/>
      <c r="BA24" s="79"/>
      <c r="BB24" s="11"/>
      <c r="BC24" s="11"/>
      <c r="BD24" s="11"/>
      <c r="BE24" s="73"/>
      <c r="BF24" s="73"/>
      <c r="BG24" s="73"/>
      <c r="BH24" s="77"/>
      <c r="BI24" s="77"/>
      <c r="BJ24" s="77"/>
      <c r="BK24" s="77"/>
      <c r="BL24" s="77"/>
      <c r="BM24" s="77"/>
      <c r="BN24" s="158"/>
      <c r="BO24" s="158"/>
    </row>
    <row r="25" spans="1:67" ht="15" x14ac:dyDescent="0.25">
      <c r="A25" s="71"/>
      <c r="B25" s="11"/>
      <c r="C25" s="11"/>
      <c r="D25" s="11"/>
      <c r="E25" s="11"/>
      <c r="F25" s="11"/>
      <c r="G25" s="11"/>
      <c r="H25" s="11"/>
      <c r="I25" s="11"/>
      <c r="J25" s="249"/>
      <c r="K25" s="72"/>
      <c r="L25" s="73"/>
      <c r="M25" s="73"/>
      <c r="N25" s="74"/>
      <c r="O25" s="75"/>
      <c r="P25" s="73"/>
      <c r="Q25" s="76"/>
      <c r="R25" s="76"/>
      <c r="S25" s="76"/>
      <c r="T25" s="76"/>
      <c r="U25" s="76"/>
      <c r="V25" s="76"/>
      <c r="W25" s="76"/>
      <c r="X25" s="76"/>
      <c r="Y25" s="76"/>
      <c r="Z25" s="77"/>
      <c r="AA25" s="77"/>
      <c r="AB25" s="77"/>
      <c r="AC25" s="77"/>
      <c r="AD25" s="77"/>
      <c r="AE25" s="77"/>
      <c r="AF25" s="77"/>
      <c r="AG25" s="77"/>
      <c r="AH25" s="78"/>
      <c r="AI25" s="78"/>
      <c r="AJ25" s="78"/>
      <c r="AK25" s="78"/>
      <c r="AL25" s="78"/>
      <c r="AM25" s="78"/>
      <c r="AN25" s="76"/>
      <c r="AO25" s="76"/>
      <c r="AP25" s="76"/>
      <c r="AQ25" s="76"/>
      <c r="AR25" s="76"/>
      <c r="AS25" s="76"/>
      <c r="AT25" s="76"/>
      <c r="AU25" s="76"/>
      <c r="AV25" s="76"/>
      <c r="AW25" s="79"/>
      <c r="AX25" s="79"/>
      <c r="AY25" s="79"/>
      <c r="AZ25" s="79"/>
      <c r="BA25" s="79"/>
      <c r="BB25" s="11"/>
      <c r="BC25" s="11"/>
      <c r="BD25" s="11"/>
      <c r="BE25" s="73"/>
      <c r="BF25" s="73"/>
      <c r="BG25" s="73"/>
      <c r="BH25" s="77"/>
      <c r="BI25" s="77"/>
      <c r="BJ25" s="77"/>
      <c r="BK25" s="77"/>
      <c r="BL25" s="77"/>
      <c r="BM25" s="77"/>
      <c r="BN25" s="158"/>
      <c r="BO25" s="158"/>
    </row>
    <row r="26" spans="1:67" ht="15" x14ac:dyDescent="0.25">
      <c r="A26" s="71"/>
      <c r="B26" s="11"/>
      <c r="C26" s="11"/>
      <c r="D26" s="11"/>
      <c r="E26" s="11"/>
      <c r="F26" s="11"/>
      <c r="G26" s="11"/>
      <c r="H26" s="11"/>
      <c r="I26" s="11"/>
      <c r="J26" s="249"/>
      <c r="K26" s="72"/>
      <c r="L26" s="73"/>
      <c r="M26" s="73"/>
      <c r="N26" s="74"/>
      <c r="O26" s="75"/>
      <c r="P26" s="73"/>
      <c r="Q26" s="76"/>
      <c r="R26" s="76"/>
      <c r="S26" s="76"/>
      <c r="T26" s="76"/>
      <c r="U26" s="76"/>
      <c r="V26" s="76"/>
      <c r="W26" s="76"/>
      <c r="X26" s="76"/>
      <c r="Y26" s="76"/>
      <c r="Z26" s="77"/>
      <c r="AA26" s="77"/>
      <c r="AB26" s="77"/>
      <c r="AC26" s="77"/>
      <c r="AD26" s="77"/>
      <c r="AE26" s="77"/>
      <c r="AF26" s="77"/>
      <c r="AG26" s="77"/>
      <c r="AH26" s="78"/>
      <c r="AI26" s="78"/>
      <c r="AJ26" s="78"/>
      <c r="AK26" s="78"/>
      <c r="AL26" s="78"/>
      <c r="AM26" s="78"/>
      <c r="AN26" s="76"/>
      <c r="AO26" s="76"/>
      <c r="AP26" s="76"/>
      <c r="AQ26" s="76"/>
      <c r="AR26" s="76"/>
      <c r="AS26" s="76"/>
      <c r="AT26" s="76"/>
      <c r="AU26" s="76"/>
      <c r="AV26" s="76"/>
      <c r="AW26" s="79"/>
      <c r="AX26" s="79"/>
      <c r="AY26" s="79"/>
      <c r="AZ26" s="79"/>
      <c r="BA26" s="79"/>
      <c r="BB26" s="11"/>
      <c r="BC26" s="11"/>
      <c r="BD26" s="11"/>
      <c r="BE26" s="73"/>
      <c r="BF26" s="73"/>
      <c r="BG26" s="73"/>
      <c r="BH26" s="77"/>
      <c r="BI26" s="77"/>
      <c r="BJ26" s="77"/>
      <c r="BK26" s="77"/>
      <c r="BL26" s="77"/>
      <c r="BM26" s="77"/>
      <c r="BN26" s="158"/>
      <c r="BO26" s="158"/>
    </row>
    <row r="27" spans="1:67" ht="15" x14ac:dyDescent="0.25">
      <c r="A27" s="71"/>
      <c r="B27" s="11"/>
      <c r="C27" s="11"/>
      <c r="D27" s="11"/>
      <c r="E27" s="11"/>
      <c r="F27" s="11"/>
      <c r="G27" s="11"/>
      <c r="H27" s="11"/>
      <c r="I27" s="11"/>
      <c r="J27" s="249"/>
      <c r="K27" s="72"/>
      <c r="L27" s="73"/>
      <c r="M27" s="73"/>
      <c r="N27" s="74"/>
      <c r="O27" s="75"/>
      <c r="P27" s="73"/>
      <c r="Q27" s="76"/>
      <c r="R27" s="76"/>
      <c r="S27" s="76"/>
      <c r="T27" s="76"/>
      <c r="U27" s="76"/>
      <c r="V27" s="76"/>
      <c r="W27" s="76"/>
      <c r="X27" s="76"/>
      <c r="Y27" s="76"/>
      <c r="Z27" s="77"/>
      <c r="AA27" s="77"/>
      <c r="AB27" s="77"/>
      <c r="AC27" s="77"/>
      <c r="AD27" s="77"/>
      <c r="AE27" s="77"/>
      <c r="AF27" s="77"/>
      <c r="AG27" s="77"/>
      <c r="AH27" s="78"/>
      <c r="AI27" s="78"/>
      <c r="AJ27" s="78"/>
      <c r="AK27" s="78"/>
      <c r="AL27" s="78"/>
      <c r="AM27" s="78"/>
      <c r="AN27" s="76"/>
      <c r="AO27" s="76"/>
      <c r="AP27" s="76"/>
      <c r="AQ27" s="76"/>
      <c r="AR27" s="76"/>
      <c r="AS27" s="76"/>
      <c r="AT27" s="76"/>
      <c r="AU27" s="76"/>
      <c r="AV27" s="76"/>
      <c r="AW27" s="79"/>
      <c r="AX27" s="79"/>
      <c r="AY27" s="79"/>
      <c r="AZ27" s="79"/>
      <c r="BA27" s="79"/>
      <c r="BB27" s="11"/>
      <c r="BC27" s="11"/>
      <c r="BD27" s="11"/>
      <c r="BE27" s="73"/>
      <c r="BF27" s="73"/>
      <c r="BG27" s="73"/>
      <c r="BH27" s="77"/>
      <c r="BI27" s="77"/>
      <c r="BJ27" s="77"/>
      <c r="BK27" s="77"/>
      <c r="BL27" s="77"/>
      <c r="BM27" s="77"/>
      <c r="BN27" s="158"/>
      <c r="BO27" s="158"/>
    </row>
    <row r="28" spans="1:67" ht="15" x14ac:dyDescent="0.25">
      <c r="A28" s="71"/>
      <c r="B28" s="11"/>
      <c r="C28" s="11"/>
      <c r="D28" s="11"/>
      <c r="E28" s="11"/>
      <c r="F28" s="11"/>
      <c r="G28" s="11"/>
      <c r="H28" s="11"/>
      <c r="I28" s="11"/>
      <c r="J28" s="249"/>
      <c r="K28" s="72"/>
      <c r="L28" s="73"/>
      <c r="M28" s="73"/>
      <c r="N28" s="74"/>
      <c r="O28" s="75"/>
      <c r="P28" s="73"/>
      <c r="Q28" s="76"/>
      <c r="R28" s="76"/>
      <c r="S28" s="76"/>
      <c r="T28" s="76"/>
      <c r="U28" s="76"/>
      <c r="V28" s="76"/>
      <c r="W28" s="76"/>
      <c r="X28" s="76"/>
      <c r="Y28" s="76"/>
      <c r="Z28" s="77"/>
      <c r="AA28" s="77"/>
      <c r="AB28" s="77"/>
      <c r="AC28" s="77"/>
      <c r="AD28" s="77"/>
      <c r="AE28" s="77"/>
      <c r="AF28" s="77"/>
      <c r="AG28" s="77"/>
      <c r="AH28" s="78"/>
      <c r="AI28" s="78"/>
      <c r="AJ28" s="78"/>
      <c r="AK28" s="78"/>
      <c r="AL28" s="78"/>
      <c r="AM28" s="78"/>
      <c r="AN28" s="76"/>
      <c r="AO28" s="76"/>
      <c r="AP28" s="76"/>
      <c r="AQ28" s="76"/>
      <c r="AR28" s="76"/>
      <c r="AS28" s="76"/>
      <c r="AT28" s="76"/>
      <c r="AU28" s="76"/>
      <c r="AV28" s="76"/>
      <c r="AW28" s="79"/>
      <c r="AX28" s="79"/>
      <c r="AY28" s="79"/>
      <c r="AZ28" s="79"/>
      <c r="BA28" s="79"/>
      <c r="BB28" s="11"/>
      <c r="BC28" s="11"/>
      <c r="BD28" s="11"/>
      <c r="BE28" s="73"/>
      <c r="BF28" s="73"/>
      <c r="BG28" s="73"/>
      <c r="BH28" s="77"/>
      <c r="BI28" s="77"/>
      <c r="BJ28" s="77"/>
      <c r="BK28" s="77"/>
      <c r="BL28" s="77"/>
      <c r="BM28" s="77"/>
      <c r="BN28" s="158"/>
      <c r="BO28" s="158"/>
    </row>
    <row r="29" spans="1:67" ht="15" x14ac:dyDescent="0.25">
      <c r="A29" s="71"/>
      <c r="B29" s="11"/>
      <c r="C29" s="11"/>
      <c r="D29" s="11"/>
      <c r="E29" s="11"/>
      <c r="F29" s="11"/>
      <c r="G29" s="11"/>
      <c r="H29" s="11"/>
      <c r="I29" s="11"/>
      <c r="J29" s="249"/>
      <c r="K29" s="72"/>
      <c r="L29" s="73"/>
      <c r="M29" s="73"/>
      <c r="N29" s="74"/>
      <c r="O29" s="75"/>
      <c r="P29" s="73"/>
      <c r="Q29" s="76"/>
      <c r="R29" s="76"/>
      <c r="S29" s="76"/>
      <c r="T29" s="76"/>
      <c r="U29" s="76"/>
      <c r="V29" s="76"/>
      <c r="W29" s="76"/>
      <c r="X29" s="76"/>
      <c r="Y29" s="76"/>
      <c r="Z29" s="77"/>
      <c r="AA29" s="77"/>
      <c r="AB29" s="77"/>
      <c r="AC29" s="77"/>
      <c r="AD29" s="77"/>
      <c r="AE29" s="77"/>
      <c r="AF29" s="77"/>
      <c r="AG29" s="77"/>
      <c r="AH29" s="78"/>
      <c r="AI29" s="78"/>
      <c r="AJ29" s="78"/>
      <c r="AK29" s="78"/>
      <c r="AL29" s="78"/>
      <c r="AM29" s="78"/>
      <c r="AN29" s="76"/>
      <c r="AO29" s="76"/>
      <c r="AP29" s="76"/>
      <c r="AQ29" s="76"/>
      <c r="AR29" s="76"/>
      <c r="AS29" s="76"/>
      <c r="AT29" s="76"/>
      <c r="AU29" s="76"/>
      <c r="AV29" s="76"/>
      <c r="AW29" s="79"/>
      <c r="AX29" s="79"/>
      <c r="AY29" s="79"/>
      <c r="AZ29" s="79"/>
      <c r="BA29" s="79"/>
      <c r="BB29" s="11"/>
      <c r="BC29" s="11"/>
      <c r="BD29" s="11"/>
      <c r="BE29" s="73"/>
      <c r="BF29" s="73"/>
      <c r="BG29" s="73"/>
      <c r="BH29" s="77"/>
      <c r="BI29" s="77"/>
      <c r="BJ29" s="77"/>
      <c r="BK29" s="77"/>
      <c r="BL29" s="77"/>
      <c r="BM29" s="77"/>
      <c r="BN29" s="158"/>
      <c r="BO29" s="158"/>
    </row>
    <row r="30" spans="1:67" ht="15" x14ac:dyDescent="0.25">
      <c r="A30" s="71"/>
      <c r="B30" s="11"/>
      <c r="C30" s="11"/>
      <c r="D30" s="11"/>
      <c r="E30" s="11"/>
      <c r="F30" s="11"/>
      <c r="G30" s="11"/>
      <c r="H30" s="11"/>
      <c r="I30" s="11"/>
      <c r="J30" s="249"/>
      <c r="K30" s="72"/>
      <c r="L30" s="73"/>
      <c r="M30" s="73"/>
      <c r="N30" s="74"/>
      <c r="O30" s="75"/>
      <c r="P30" s="73"/>
      <c r="Q30" s="76"/>
      <c r="R30" s="76"/>
      <c r="S30" s="76"/>
      <c r="T30" s="76"/>
      <c r="U30" s="76"/>
      <c r="V30" s="76"/>
      <c r="W30" s="76"/>
      <c r="X30" s="76"/>
      <c r="Y30" s="76"/>
      <c r="Z30" s="77"/>
      <c r="AA30" s="77"/>
      <c r="AB30" s="77"/>
      <c r="AC30" s="77"/>
      <c r="AD30" s="77"/>
      <c r="AE30" s="77"/>
      <c r="AF30" s="77"/>
      <c r="AG30" s="77"/>
      <c r="AH30" s="78"/>
      <c r="AI30" s="78"/>
      <c r="AJ30" s="78"/>
      <c r="AK30" s="78"/>
      <c r="AL30" s="78"/>
      <c r="AM30" s="78"/>
      <c r="AN30" s="76"/>
      <c r="AO30" s="76"/>
      <c r="AP30" s="76"/>
      <c r="AQ30" s="76"/>
      <c r="AR30" s="76"/>
      <c r="AS30" s="76"/>
      <c r="AT30" s="76"/>
      <c r="AU30" s="76"/>
      <c r="AV30" s="76"/>
      <c r="AW30" s="79"/>
      <c r="AX30" s="79"/>
      <c r="AY30" s="79"/>
      <c r="AZ30" s="79"/>
      <c r="BA30" s="79"/>
      <c r="BB30" s="11"/>
      <c r="BC30" s="11"/>
      <c r="BD30" s="11"/>
      <c r="BE30" s="73"/>
      <c r="BF30" s="73"/>
      <c r="BG30" s="73"/>
      <c r="BH30" s="77"/>
      <c r="BI30" s="77"/>
      <c r="BJ30" s="77"/>
      <c r="BK30" s="77"/>
      <c r="BL30" s="77"/>
      <c r="BM30" s="77"/>
      <c r="BN30" s="158"/>
      <c r="BO30" s="158"/>
    </row>
    <row r="31" spans="1:67" ht="15" x14ac:dyDescent="0.25">
      <c r="A31" s="71"/>
      <c r="B31" s="11"/>
      <c r="C31" s="11"/>
      <c r="D31" s="11"/>
      <c r="E31" s="11"/>
      <c r="F31" s="11"/>
      <c r="G31" s="11"/>
      <c r="H31" s="11"/>
      <c r="I31" s="11"/>
      <c r="J31" s="249"/>
      <c r="K31" s="72"/>
      <c r="L31" s="73"/>
      <c r="M31" s="73"/>
      <c r="N31" s="74"/>
      <c r="O31" s="75"/>
      <c r="P31" s="73"/>
      <c r="Q31" s="76"/>
      <c r="R31" s="76"/>
      <c r="S31" s="76"/>
      <c r="T31" s="76"/>
      <c r="U31" s="76"/>
      <c r="V31" s="76"/>
      <c r="W31" s="76"/>
      <c r="X31" s="76"/>
      <c r="Y31" s="76"/>
      <c r="Z31" s="77"/>
      <c r="AA31" s="77"/>
      <c r="AB31" s="77"/>
      <c r="AC31" s="77"/>
      <c r="AD31" s="77"/>
      <c r="AE31" s="77"/>
      <c r="AF31" s="77"/>
      <c r="AG31" s="77"/>
      <c r="AH31" s="78"/>
      <c r="AI31" s="78"/>
      <c r="AJ31" s="78"/>
      <c r="AK31" s="78"/>
      <c r="AL31" s="78"/>
      <c r="AM31" s="78"/>
      <c r="AN31" s="76"/>
      <c r="AO31" s="76"/>
      <c r="AP31" s="76"/>
      <c r="AQ31" s="76"/>
      <c r="AR31" s="76"/>
      <c r="AS31" s="76"/>
      <c r="AT31" s="76"/>
      <c r="AU31" s="76"/>
      <c r="AV31" s="76"/>
      <c r="AW31" s="79"/>
      <c r="AX31" s="79"/>
      <c r="AY31" s="79"/>
      <c r="AZ31" s="79"/>
      <c r="BA31" s="79"/>
      <c r="BB31" s="11"/>
      <c r="BC31" s="11"/>
      <c r="BD31" s="11"/>
      <c r="BE31" s="73"/>
      <c r="BF31" s="73"/>
      <c r="BG31" s="73"/>
      <c r="BH31" s="77"/>
      <c r="BI31" s="77"/>
      <c r="BJ31" s="77"/>
      <c r="BK31" s="77"/>
      <c r="BL31" s="77"/>
      <c r="BM31" s="77"/>
      <c r="BN31" s="158"/>
      <c r="BO31" s="158"/>
    </row>
    <row r="32" spans="1:67" ht="15" x14ac:dyDescent="0.25">
      <c r="A32" s="71"/>
      <c r="B32" s="11"/>
      <c r="C32" s="11"/>
      <c r="D32" s="11"/>
      <c r="E32" s="11"/>
      <c r="F32" s="11"/>
      <c r="G32" s="11"/>
      <c r="H32" s="11"/>
      <c r="I32" s="11"/>
      <c r="J32" s="249"/>
      <c r="K32" s="72"/>
      <c r="L32" s="73"/>
      <c r="M32" s="73"/>
      <c r="N32" s="74"/>
      <c r="O32" s="75"/>
      <c r="P32" s="73"/>
      <c r="Q32" s="76"/>
      <c r="R32" s="76"/>
      <c r="S32" s="76"/>
      <c r="T32" s="76"/>
      <c r="U32" s="76"/>
      <c r="V32" s="76"/>
      <c r="W32" s="76"/>
      <c r="X32" s="76"/>
      <c r="Y32" s="76"/>
      <c r="Z32" s="77"/>
      <c r="AA32" s="77"/>
      <c r="AB32" s="77"/>
      <c r="AC32" s="77"/>
      <c r="AD32" s="77"/>
      <c r="AE32" s="77"/>
      <c r="AF32" s="77"/>
      <c r="AG32" s="77"/>
      <c r="AH32" s="78"/>
      <c r="AI32" s="78"/>
      <c r="AJ32" s="78"/>
      <c r="AK32" s="78"/>
      <c r="AL32" s="78"/>
      <c r="AM32" s="78"/>
      <c r="AN32" s="76"/>
      <c r="AO32" s="76"/>
      <c r="AP32" s="76"/>
      <c r="AQ32" s="76"/>
      <c r="AR32" s="76"/>
      <c r="AS32" s="76"/>
      <c r="AT32" s="76"/>
      <c r="AU32" s="76"/>
      <c r="AV32" s="76"/>
      <c r="AW32" s="79"/>
      <c r="AX32" s="79"/>
      <c r="AY32" s="79"/>
      <c r="AZ32" s="79"/>
      <c r="BA32" s="79"/>
      <c r="BB32" s="11"/>
      <c r="BC32" s="11"/>
      <c r="BD32" s="11"/>
      <c r="BE32" s="73"/>
      <c r="BF32" s="73"/>
      <c r="BG32" s="73"/>
      <c r="BH32" s="77"/>
      <c r="BI32" s="77"/>
      <c r="BJ32" s="77"/>
      <c r="BK32" s="77"/>
      <c r="BL32" s="77"/>
      <c r="BM32" s="77"/>
      <c r="BN32" s="158"/>
      <c r="BO32" s="158"/>
    </row>
    <row r="33" spans="1:67" ht="15" x14ac:dyDescent="0.25">
      <c r="A33" s="71"/>
      <c r="B33" s="11"/>
      <c r="C33" s="11"/>
      <c r="D33" s="11"/>
      <c r="E33" s="11"/>
      <c r="F33" s="11"/>
      <c r="G33" s="11"/>
      <c r="H33" s="11"/>
      <c r="I33" s="11"/>
      <c r="J33" s="249"/>
      <c r="K33" s="72"/>
      <c r="L33" s="73"/>
      <c r="M33" s="73"/>
      <c r="N33" s="74"/>
      <c r="O33" s="75"/>
      <c r="P33" s="73"/>
      <c r="Q33" s="76"/>
      <c r="R33" s="76"/>
      <c r="S33" s="76"/>
      <c r="T33" s="76"/>
      <c r="U33" s="76"/>
      <c r="V33" s="76"/>
      <c r="W33" s="76"/>
      <c r="X33" s="76"/>
      <c r="Y33" s="76"/>
      <c r="Z33" s="77"/>
      <c r="AA33" s="77"/>
      <c r="AB33" s="77"/>
      <c r="AC33" s="77"/>
      <c r="AD33" s="77"/>
      <c r="AE33" s="77"/>
      <c r="AF33" s="77"/>
      <c r="AG33" s="77"/>
      <c r="AH33" s="78"/>
      <c r="AI33" s="78"/>
      <c r="AJ33" s="78"/>
      <c r="AK33" s="78"/>
      <c r="AL33" s="78"/>
      <c r="AM33" s="78"/>
      <c r="AN33" s="76"/>
      <c r="AO33" s="76"/>
      <c r="AP33" s="76"/>
      <c r="AQ33" s="76"/>
      <c r="AR33" s="76"/>
      <c r="AS33" s="76"/>
      <c r="AT33" s="76"/>
      <c r="AU33" s="76"/>
      <c r="AV33" s="76"/>
      <c r="AW33" s="79"/>
      <c r="AX33" s="79"/>
      <c r="AY33" s="79"/>
      <c r="AZ33" s="79"/>
      <c r="BA33" s="79"/>
      <c r="BB33" s="11"/>
      <c r="BC33" s="11"/>
      <c r="BD33" s="11"/>
      <c r="BE33" s="73"/>
      <c r="BF33" s="73"/>
      <c r="BG33" s="73"/>
      <c r="BH33" s="77"/>
      <c r="BI33" s="77"/>
      <c r="BJ33" s="77"/>
      <c r="BK33" s="77"/>
      <c r="BL33" s="77"/>
      <c r="BM33" s="77"/>
      <c r="BN33" s="158"/>
      <c r="BO33" s="158"/>
    </row>
    <row r="34" spans="1:67" ht="15" x14ac:dyDescent="0.25">
      <c r="A34" s="71"/>
      <c r="B34" s="11"/>
      <c r="C34" s="11"/>
      <c r="D34" s="11"/>
      <c r="E34" s="11"/>
      <c r="F34" s="11"/>
      <c r="G34" s="11"/>
      <c r="H34" s="11"/>
      <c r="I34" s="11"/>
      <c r="J34" s="249"/>
      <c r="K34" s="72"/>
      <c r="L34" s="73"/>
      <c r="M34" s="73"/>
      <c r="N34" s="74"/>
      <c r="O34" s="75"/>
      <c r="P34" s="73"/>
      <c r="Q34" s="76"/>
      <c r="R34" s="76"/>
      <c r="S34" s="76"/>
      <c r="T34" s="76"/>
      <c r="U34" s="76"/>
      <c r="V34" s="76"/>
      <c r="W34" s="76"/>
      <c r="X34" s="76"/>
      <c r="Y34" s="76"/>
      <c r="Z34" s="77"/>
      <c r="AA34" s="77"/>
      <c r="AB34" s="77"/>
      <c r="AC34" s="77"/>
      <c r="AD34" s="77"/>
      <c r="AE34" s="77"/>
      <c r="AF34" s="77"/>
      <c r="AG34" s="77"/>
      <c r="AH34" s="78"/>
      <c r="AI34" s="78"/>
      <c r="AJ34" s="78"/>
      <c r="AK34" s="78"/>
      <c r="AL34" s="78"/>
      <c r="AM34" s="78"/>
      <c r="AN34" s="76"/>
      <c r="AO34" s="76"/>
      <c r="AP34" s="76"/>
      <c r="AQ34" s="76"/>
      <c r="AR34" s="76"/>
      <c r="AS34" s="76"/>
      <c r="AT34" s="76"/>
      <c r="AU34" s="76"/>
      <c r="AV34" s="76"/>
      <c r="AW34" s="79"/>
      <c r="AX34" s="79"/>
      <c r="AY34" s="79"/>
      <c r="AZ34" s="79"/>
      <c r="BA34" s="79"/>
      <c r="BB34" s="11"/>
      <c r="BC34" s="11"/>
      <c r="BD34" s="11"/>
      <c r="BE34" s="73"/>
      <c r="BF34" s="73"/>
      <c r="BG34" s="73"/>
      <c r="BH34" s="77"/>
      <c r="BI34" s="77"/>
      <c r="BJ34" s="77"/>
      <c r="BK34" s="77"/>
      <c r="BL34" s="77"/>
      <c r="BM34" s="77"/>
      <c r="BN34" s="158"/>
      <c r="BO34" s="158"/>
    </row>
    <row r="35" spans="1:67" ht="15" x14ac:dyDescent="0.25">
      <c r="A35" s="71"/>
      <c r="B35" s="11"/>
      <c r="C35" s="11"/>
      <c r="D35" s="11"/>
      <c r="E35" s="11"/>
      <c r="F35" s="11"/>
      <c r="G35" s="11"/>
      <c r="H35" s="11"/>
      <c r="I35" s="11"/>
      <c r="J35" s="249"/>
      <c r="K35" s="72"/>
      <c r="L35" s="73"/>
      <c r="M35" s="73"/>
      <c r="N35" s="74"/>
      <c r="O35" s="75"/>
      <c r="P35" s="73"/>
      <c r="Q35" s="76"/>
      <c r="R35" s="76"/>
      <c r="S35" s="76"/>
      <c r="T35" s="76"/>
      <c r="U35" s="76"/>
      <c r="V35" s="76"/>
      <c r="W35" s="76"/>
      <c r="X35" s="76"/>
      <c r="Y35" s="76"/>
      <c r="Z35" s="77"/>
      <c r="AA35" s="77"/>
      <c r="AB35" s="77"/>
      <c r="AC35" s="77"/>
      <c r="AD35" s="77"/>
      <c r="AE35" s="77"/>
      <c r="AF35" s="77"/>
      <c r="AG35" s="77"/>
      <c r="AH35" s="78"/>
      <c r="AI35" s="78"/>
      <c r="AJ35" s="78"/>
      <c r="AK35" s="78"/>
      <c r="AL35" s="78"/>
      <c r="AM35" s="78"/>
      <c r="AN35" s="76"/>
      <c r="AO35" s="76"/>
      <c r="AP35" s="76"/>
      <c r="AQ35" s="76"/>
      <c r="AR35" s="76"/>
      <c r="AS35" s="76"/>
      <c r="AT35" s="76"/>
      <c r="AU35" s="76"/>
      <c r="AV35" s="76"/>
      <c r="AW35" s="79"/>
      <c r="AX35" s="79"/>
      <c r="AY35" s="79"/>
      <c r="AZ35" s="79"/>
      <c r="BA35" s="79"/>
      <c r="BB35" s="11"/>
      <c r="BC35" s="11"/>
      <c r="BD35" s="11"/>
      <c r="BE35" s="73"/>
      <c r="BF35" s="73"/>
      <c r="BG35" s="73"/>
      <c r="BH35" s="77"/>
      <c r="BI35" s="77"/>
      <c r="BJ35" s="77"/>
      <c r="BK35" s="77"/>
      <c r="BL35" s="77"/>
      <c r="BM35" s="77"/>
      <c r="BN35" s="158"/>
      <c r="BO35" s="158"/>
    </row>
    <row r="36" spans="1:67" ht="15" x14ac:dyDescent="0.25">
      <c r="A36" s="71"/>
      <c r="B36" s="11"/>
      <c r="C36" s="11"/>
      <c r="D36" s="11"/>
      <c r="E36" s="11"/>
      <c r="F36" s="11"/>
      <c r="G36" s="11"/>
      <c r="H36" s="11"/>
      <c r="I36" s="11"/>
      <c r="J36" s="249"/>
      <c r="K36" s="72"/>
      <c r="L36" s="73"/>
      <c r="M36" s="73"/>
      <c r="N36" s="74"/>
      <c r="O36" s="75"/>
      <c r="P36" s="73"/>
      <c r="Q36" s="76"/>
      <c r="R36" s="76"/>
      <c r="S36" s="76"/>
      <c r="T36" s="76"/>
      <c r="U36" s="76"/>
      <c r="V36" s="76"/>
      <c r="W36" s="76"/>
      <c r="X36" s="76"/>
      <c r="Y36" s="76"/>
      <c r="Z36" s="77"/>
      <c r="AA36" s="77"/>
      <c r="AB36" s="77"/>
      <c r="AC36" s="77"/>
      <c r="AD36" s="77"/>
      <c r="AE36" s="77"/>
      <c r="AF36" s="77"/>
      <c r="AG36" s="77"/>
      <c r="AH36" s="78"/>
      <c r="AI36" s="78"/>
      <c r="AJ36" s="78"/>
      <c r="AK36" s="78"/>
      <c r="AL36" s="78"/>
      <c r="AM36" s="78"/>
      <c r="AN36" s="76"/>
      <c r="AO36" s="76"/>
      <c r="AP36" s="76"/>
      <c r="AQ36" s="76"/>
      <c r="AR36" s="76"/>
      <c r="AS36" s="76"/>
      <c r="AT36" s="76"/>
      <c r="AU36" s="76"/>
      <c r="AV36" s="76"/>
      <c r="AW36" s="79"/>
      <c r="AX36" s="79"/>
      <c r="AY36" s="79"/>
      <c r="AZ36" s="79"/>
      <c r="BA36" s="79"/>
      <c r="BB36" s="11"/>
      <c r="BC36" s="11"/>
      <c r="BD36" s="11"/>
      <c r="BE36" s="73"/>
      <c r="BF36" s="73"/>
      <c r="BG36" s="73"/>
      <c r="BH36" s="77"/>
      <c r="BI36" s="77"/>
      <c r="BJ36" s="77"/>
      <c r="BK36" s="77"/>
      <c r="BL36" s="77"/>
      <c r="BM36" s="77"/>
      <c r="BN36" s="158"/>
      <c r="BO36" s="158"/>
    </row>
    <row r="37" spans="1:67" ht="15" x14ac:dyDescent="0.25">
      <c r="A37" s="71"/>
      <c r="B37" s="11"/>
      <c r="C37" s="11"/>
      <c r="D37" s="11"/>
      <c r="E37" s="11"/>
      <c r="F37" s="11"/>
      <c r="G37" s="11"/>
      <c r="H37" s="11"/>
      <c r="I37" s="11"/>
      <c r="J37" s="249"/>
      <c r="K37" s="72"/>
      <c r="L37" s="73"/>
      <c r="M37" s="73"/>
      <c r="N37" s="74"/>
      <c r="O37" s="75"/>
      <c r="P37" s="73"/>
      <c r="Q37" s="76"/>
      <c r="R37" s="76"/>
      <c r="S37" s="76"/>
      <c r="T37" s="76"/>
      <c r="U37" s="76"/>
      <c r="V37" s="76"/>
      <c r="W37" s="76"/>
      <c r="X37" s="76"/>
      <c r="Y37" s="76"/>
      <c r="Z37" s="77"/>
      <c r="AA37" s="77"/>
      <c r="AB37" s="77"/>
      <c r="AC37" s="77"/>
      <c r="AD37" s="77"/>
      <c r="AE37" s="77"/>
      <c r="AF37" s="77"/>
      <c r="AG37" s="77"/>
      <c r="AH37" s="78"/>
      <c r="AI37" s="78"/>
      <c r="AJ37" s="78"/>
      <c r="AK37" s="78"/>
      <c r="AL37" s="78"/>
      <c r="AM37" s="78"/>
      <c r="AN37" s="76"/>
      <c r="AO37" s="76"/>
      <c r="AP37" s="76"/>
      <c r="AQ37" s="76"/>
      <c r="AR37" s="76"/>
      <c r="AS37" s="76"/>
      <c r="AT37" s="76"/>
      <c r="AU37" s="76"/>
      <c r="AV37" s="76"/>
      <c r="AW37" s="79"/>
      <c r="AX37" s="79"/>
      <c r="AY37" s="79"/>
      <c r="AZ37" s="79"/>
      <c r="BA37" s="79"/>
      <c r="BB37" s="11"/>
      <c r="BC37" s="11"/>
      <c r="BD37" s="11"/>
      <c r="BE37" s="73"/>
      <c r="BF37" s="73"/>
      <c r="BG37" s="73"/>
      <c r="BH37" s="77"/>
      <c r="BI37" s="77"/>
      <c r="BJ37" s="77"/>
      <c r="BK37" s="77"/>
      <c r="BL37" s="77"/>
      <c r="BM37" s="77"/>
      <c r="BN37" s="158"/>
      <c r="BO37" s="158"/>
    </row>
    <row r="38" spans="1:67" ht="15" x14ac:dyDescent="0.25">
      <c r="A38" s="71"/>
      <c r="B38" s="11"/>
      <c r="C38" s="11"/>
      <c r="D38" s="11"/>
      <c r="E38" s="11"/>
      <c r="F38" s="11"/>
      <c r="G38" s="11"/>
      <c r="H38" s="11"/>
      <c r="I38" s="11"/>
      <c r="J38" s="249"/>
      <c r="K38" s="72"/>
      <c r="L38" s="73"/>
      <c r="M38" s="73"/>
      <c r="N38" s="74"/>
      <c r="O38" s="75"/>
      <c r="P38" s="73"/>
      <c r="Q38" s="76"/>
      <c r="R38" s="76"/>
      <c r="S38" s="76"/>
      <c r="T38" s="76"/>
      <c r="U38" s="76"/>
      <c r="V38" s="76"/>
      <c r="W38" s="76"/>
      <c r="X38" s="76"/>
      <c r="Y38" s="76"/>
      <c r="Z38" s="77"/>
      <c r="AA38" s="77"/>
      <c r="AB38" s="77"/>
      <c r="AC38" s="77"/>
      <c r="AD38" s="77"/>
      <c r="AE38" s="77"/>
      <c r="AF38" s="77"/>
      <c r="AG38" s="77"/>
      <c r="AH38" s="78"/>
      <c r="AI38" s="78"/>
      <c r="AJ38" s="78"/>
      <c r="AK38" s="78"/>
      <c r="AL38" s="78"/>
      <c r="AM38" s="78"/>
      <c r="AN38" s="76"/>
      <c r="AO38" s="76"/>
      <c r="AP38" s="76"/>
      <c r="AQ38" s="76"/>
      <c r="AR38" s="76"/>
      <c r="AS38" s="76"/>
      <c r="AT38" s="76"/>
      <c r="AU38" s="76"/>
      <c r="AV38" s="76"/>
      <c r="AW38" s="79"/>
      <c r="AX38" s="79"/>
      <c r="AY38" s="79"/>
      <c r="AZ38" s="79"/>
      <c r="BA38" s="79"/>
      <c r="BB38" s="11"/>
      <c r="BC38" s="11"/>
      <c r="BD38" s="11"/>
      <c r="BE38" s="73"/>
      <c r="BF38" s="73"/>
      <c r="BG38" s="73"/>
      <c r="BH38" s="77"/>
      <c r="BI38" s="77"/>
      <c r="BJ38" s="77"/>
      <c r="BK38" s="77"/>
      <c r="BL38" s="77"/>
      <c r="BM38" s="77"/>
      <c r="BN38" s="158"/>
      <c r="BO38" s="158"/>
    </row>
    <row r="39" spans="1:67" ht="15" x14ac:dyDescent="0.25">
      <c r="A39" s="71"/>
      <c r="B39" s="11"/>
      <c r="C39" s="11"/>
      <c r="D39" s="11"/>
      <c r="E39" s="11"/>
      <c r="F39" s="11"/>
      <c r="G39" s="11"/>
      <c r="H39" s="11"/>
      <c r="I39" s="11"/>
      <c r="J39" s="249"/>
      <c r="K39" s="72"/>
      <c r="L39" s="73"/>
      <c r="M39" s="73"/>
      <c r="N39" s="74"/>
      <c r="O39" s="75"/>
      <c r="P39" s="73"/>
      <c r="Q39" s="76"/>
      <c r="R39" s="76"/>
      <c r="S39" s="76"/>
      <c r="T39" s="76"/>
      <c r="U39" s="76"/>
      <c r="V39" s="76"/>
      <c r="W39" s="76"/>
      <c r="X39" s="76"/>
      <c r="Y39" s="76"/>
      <c r="Z39" s="77"/>
      <c r="AA39" s="77"/>
      <c r="AB39" s="77"/>
      <c r="AC39" s="77"/>
      <c r="AD39" s="77"/>
      <c r="AE39" s="77"/>
      <c r="AF39" s="77"/>
      <c r="AG39" s="77"/>
      <c r="AH39" s="78"/>
      <c r="AI39" s="78"/>
      <c r="AJ39" s="78"/>
      <c r="AK39" s="78"/>
      <c r="AL39" s="78"/>
      <c r="AM39" s="78"/>
      <c r="AN39" s="76"/>
      <c r="AO39" s="76"/>
      <c r="AP39" s="76"/>
      <c r="AQ39" s="76"/>
      <c r="AR39" s="76"/>
      <c r="AS39" s="76"/>
      <c r="AT39" s="76"/>
      <c r="AU39" s="76"/>
      <c r="AV39" s="76"/>
      <c r="AW39" s="79"/>
      <c r="AX39" s="79"/>
      <c r="AY39" s="79"/>
      <c r="AZ39" s="79"/>
      <c r="BA39" s="79"/>
      <c r="BB39" s="11"/>
      <c r="BC39" s="11"/>
      <c r="BD39" s="11"/>
      <c r="BE39" s="73"/>
      <c r="BF39" s="73"/>
      <c r="BG39" s="73"/>
      <c r="BH39" s="77"/>
      <c r="BI39" s="77"/>
      <c r="BJ39" s="77"/>
      <c r="BK39" s="77"/>
      <c r="BL39" s="77"/>
      <c r="BM39" s="77"/>
      <c r="BN39" s="158"/>
      <c r="BO39" s="158"/>
    </row>
    <row r="40" spans="1:67" ht="15" x14ac:dyDescent="0.25">
      <c r="A40" s="71"/>
      <c r="B40" s="11"/>
      <c r="C40" s="11"/>
      <c r="D40" s="11"/>
      <c r="E40" s="11"/>
      <c r="F40" s="11"/>
      <c r="G40" s="11"/>
      <c r="H40" s="11"/>
      <c r="I40" s="11"/>
      <c r="J40" s="249"/>
      <c r="K40" s="72"/>
      <c r="L40" s="73"/>
      <c r="M40" s="73"/>
      <c r="N40" s="74"/>
      <c r="O40" s="75"/>
      <c r="P40" s="73"/>
      <c r="Q40" s="76"/>
      <c r="R40" s="76"/>
      <c r="S40" s="76"/>
      <c r="T40" s="76"/>
      <c r="U40" s="76"/>
      <c r="V40" s="76"/>
      <c r="W40" s="76"/>
      <c r="X40" s="76"/>
      <c r="Y40" s="76"/>
      <c r="Z40" s="77"/>
      <c r="AA40" s="77"/>
      <c r="AB40" s="77"/>
      <c r="AC40" s="77"/>
      <c r="AD40" s="77"/>
      <c r="AE40" s="77"/>
      <c r="AF40" s="77"/>
      <c r="AG40" s="77"/>
      <c r="AH40" s="78"/>
      <c r="AI40" s="78"/>
      <c r="AJ40" s="78"/>
      <c r="AK40" s="78"/>
      <c r="AL40" s="78"/>
      <c r="AM40" s="78"/>
      <c r="AN40" s="76"/>
      <c r="AO40" s="76"/>
      <c r="AP40" s="76"/>
      <c r="AQ40" s="76"/>
      <c r="AR40" s="76"/>
      <c r="AS40" s="76"/>
      <c r="AT40" s="76"/>
      <c r="AU40" s="76"/>
      <c r="AV40" s="76"/>
      <c r="AW40" s="79"/>
      <c r="AX40" s="79"/>
      <c r="AY40" s="79"/>
      <c r="AZ40" s="79"/>
      <c r="BA40" s="79"/>
      <c r="BB40" s="11"/>
      <c r="BC40" s="11"/>
      <c r="BD40" s="11"/>
      <c r="BE40" s="73"/>
      <c r="BF40" s="73"/>
      <c r="BG40" s="73"/>
      <c r="BH40" s="77"/>
      <c r="BI40" s="77"/>
      <c r="BJ40" s="77"/>
      <c r="BK40" s="77"/>
      <c r="BL40" s="77"/>
      <c r="BM40" s="77"/>
      <c r="BN40" s="158"/>
      <c r="BO40" s="158"/>
    </row>
    <row r="41" spans="1:67" ht="15" x14ac:dyDescent="0.25">
      <c r="A41" s="71"/>
      <c r="B41" s="11"/>
      <c r="C41" s="11"/>
      <c r="D41" s="11"/>
      <c r="E41" s="11"/>
      <c r="F41" s="11"/>
      <c r="G41" s="11"/>
      <c r="H41" s="11"/>
      <c r="I41" s="11"/>
      <c r="J41" s="249"/>
      <c r="K41" s="72"/>
      <c r="L41" s="73"/>
      <c r="M41" s="73"/>
      <c r="N41" s="74"/>
      <c r="O41" s="75"/>
      <c r="P41" s="73"/>
      <c r="Q41" s="76"/>
      <c r="R41" s="76"/>
      <c r="S41" s="76"/>
      <c r="T41" s="76"/>
      <c r="U41" s="76"/>
      <c r="V41" s="76"/>
      <c r="W41" s="76"/>
      <c r="X41" s="76"/>
      <c r="Y41" s="76"/>
      <c r="Z41" s="77"/>
      <c r="AA41" s="77"/>
      <c r="AB41" s="77"/>
      <c r="AC41" s="77"/>
      <c r="AD41" s="77"/>
      <c r="AE41" s="77"/>
      <c r="AF41" s="77"/>
      <c r="AG41" s="77"/>
      <c r="AH41" s="78"/>
      <c r="AI41" s="78"/>
      <c r="AJ41" s="78"/>
      <c r="AK41" s="78"/>
      <c r="AL41" s="78"/>
      <c r="AM41" s="78"/>
      <c r="AN41" s="76"/>
      <c r="AO41" s="76"/>
      <c r="AP41" s="76"/>
      <c r="AQ41" s="76"/>
      <c r="AR41" s="76"/>
      <c r="AS41" s="76"/>
      <c r="AT41" s="76"/>
      <c r="AU41" s="76"/>
      <c r="AV41" s="76"/>
      <c r="AW41" s="79"/>
      <c r="AX41" s="79"/>
      <c r="AY41" s="79"/>
      <c r="AZ41" s="79"/>
      <c r="BA41" s="79"/>
      <c r="BB41" s="11"/>
      <c r="BC41" s="11"/>
      <c r="BD41" s="11"/>
      <c r="BE41" s="73"/>
      <c r="BF41" s="73"/>
      <c r="BG41" s="73"/>
      <c r="BH41" s="77"/>
      <c r="BI41" s="77"/>
      <c r="BJ41" s="77"/>
      <c r="BK41" s="77"/>
      <c r="BL41" s="77"/>
      <c r="BM41" s="77"/>
      <c r="BN41" s="158"/>
      <c r="BO41" s="158"/>
    </row>
    <row r="42" spans="1:67" ht="15" x14ac:dyDescent="0.25">
      <c r="A42" s="71"/>
      <c r="B42" s="11"/>
      <c r="C42" s="11"/>
      <c r="D42" s="11"/>
      <c r="E42" s="11"/>
      <c r="F42" s="11"/>
      <c r="G42" s="11"/>
      <c r="H42" s="11"/>
      <c r="I42" s="11"/>
      <c r="J42" s="249"/>
      <c r="K42" s="72"/>
      <c r="L42" s="73"/>
      <c r="M42" s="73"/>
      <c r="N42" s="74"/>
      <c r="O42" s="75"/>
      <c r="P42" s="73"/>
      <c r="Q42" s="76"/>
      <c r="R42" s="76"/>
      <c r="S42" s="76"/>
      <c r="T42" s="76"/>
      <c r="U42" s="76"/>
      <c r="V42" s="76"/>
      <c r="W42" s="76"/>
      <c r="X42" s="76"/>
      <c r="Y42" s="76"/>
      <c r="Z42" s="77"/>
      <c r="AA42" s="77"/>
      <c r="AB42" s="77"/>
      <c r="AC42" s="77"/>
      <c r="AD42" s="77"/>
      <c r="AE42" s="77"/>
      <c r="AF42" s="77"/>
      <c r="AG42" s="77"/>
      <c r="AH42" s="78"/>
      <c r="AI42" s="78"/>
      <c r="AJ42" s="78"/>
      <c r="AK42" s="78"/>
      <c r="AL42" s="78"/>
      <c r="AM42" s="78"/>
      <c r="AN42" s="76"/>
      <c r="AO42" s="76"/>
      <c r="AP42" s="76"/>
      <c r="AQ42" s="76"/>
      <c r="AR42" s="76"/>
      <c r="AS42" s="76"/>
      <c r="AT42" s="76"/>
      <c r="AU42" s="76"/>
      <c r="AV42" s="76"/>
      <c r="AW42" s="79"/>
      <c r="AX42" s="79"/>
      <c r="AY42" s="79"/>
      <c r="AZ42" s="79"/>
      <c r="BA42" s="79"/>
      <c r="BB42" s="11"/>
      <c r="BC42" s="11"/>
      <c r="BD42" s="11"/>
      <c r="BE42" s="73"/>
      <c r="BF42" s="73"/>
      <c r="BG42" s="73"/>
      <c r="BH42" s="77"/>
      <c r="BI42" s="77"/>
      <c r="BJ42" s="77"/>
      <c r="BK42" s="77"/>
      <c r="BL42" s="77"/>
      <c r="BM42" s="77"/>
      <c r="BN42" s="158"/>
      <c r="BO42" s="158"/>
    </row>
    <row r="43" spans="1:67" ht="15" x14ac:dyDescent="0.25">
      <c r="A43" s="71"/>
      <c r="B43" s="11"/>
      <c r="C43" s="11"/>
      <c r="D43" s="11"/>
      <c r="E43" s="11"/>
      <c r="F43" s="11"/>
      <c r="G43" s="11"/>
      <c r="H43" s="11"/>
      <c r="I43" s="11"/>
      <c r="J43" s="249"/>
      <c r="K43" s="72"/>
      <c r="L43" s="73"/>
      <c r="M43" s="73"/>
      <c r="N43" s="74"/>
      <c r="O43" s="75"/>
      <c r="P43" s="73"/>
      <c r="Q43" s="76"/>
      <c r="R43" s="76"/>
      <c r="S43" s="76"/>
      <c r="T43" s="76"/>
      <c r="U43" s="76"/>
      <c r="V43" s="76"/>
      <c r="W43" s="76"/>
      <c r="X43" s="76"/>
      <c r="Y43" s="76"/>
      <c r="Z43" s="77"/>
      <c r="AA43" s="77"/>
      <c r="AB43" s="77"/>
      <c r="AC43" s="77"/>
      <c r="AD43" s="77"/>
      <c r="AE43" s="77"/>
      <c r="AF43" s="77"/>
      <c r="AG43" s="77"/>
      <c r="AH43" s="78"/>
      <c r="AI43" s="78"/>
      <c r="AJ43" s="78"/>
      <c r="AK43" s="78"/>
      <c r="AL43" s="78"/>
      <c r="AM43" s="78"/>
      <c r="AN43" s="76"/>
      <c r="AO43" s="76"/>
      <c r="AP43" s="76"/>
      <c r="AQ43" s="76"/>
      <c r="AR43" s="76"/>
      <c r="AS43" s="76"/>
      <c r="AT43" s="76"/>
      <c r="AU43" s="76"/>
      <c r="AV43" s="76"/>
      <c r="AW43" s="79"/>
      <c r="AX43" s="79"/>
      <c r="AY43" s="79"/>
      <c r="AZ43" s="79"/>
      <c r="BA43" s="79"/>
      <c r="BB43" s="11"/>
      <c r="BC43" s="11"/>
      <c r="BD43" s="11"/>
      <c r="BE43" s="73"/>
      <c r="BF43" s="73"/>
      <c r="BG43" s="73"/>
      <c r="BH43" s="77"/>
      <c r="BI43" s="77"/>
      <c r="BJ43" s="77"/>
      <c r="BK43" s="77"/>
      <c r="BL43" s="77"/>
      <c r="BM43" s="77"/>
      <c r="BN43" s="158"/>
      <c r="BO43" s="158"/>
    </row>
    <row r="44" spans="1:67" ht="15" x14ac:dyDescent="0.25">
      <c r="A44" s="71"/>
      <c r="B44" s="11"/>
      <c r="C44" s="11"/>
      <c r="D44" s="11"/>
      <c r="E44" s="11"/>
      <c r="F44" s="11"/>
      <c r="G44" s="11"/>
      <c r="H44" s="11"/>
      <c r="I44" s="11"/>
      <c r="J44" s="249"/>
      <c r="K44" s="72"/>
      <c r="L44" s="73"/>
      <c r="M44" s="73"/>
      <c r="N44" s="74"/>
      <c r="O44" s="75"/>
      <c r="P44" s="73"/>
      <c r="Q44" s="76"/>
      <c r="R44" s="76"/>
      <c r="S44" s="76"/>
      <c r="T44" s="76"/>
      <c r="U44" s="76"/>
      <c r="V44" s="76"/>
      <c r="W44" s="76"/>
      <c r="X44" s="76"/>
      <c r="Y44" s="76"/>
      <c r="Z44" s="77"/>
      <c r="AA44" s="77"/>
      <c r="AB44" s="77"/>
      <c r="AC44" s="77"/>
      <c r="AD44" s="77"/>
      <c r="AE44" s="77"/>
      <c r="AF44" s="77"/>
      <c r="AG44" s="77"/>
      <c r="AH44" s="78"/>
      <c r="AI44" s="78"/>
      <c r="AJ44" s="78"/>
      <c r="AK44" s="78"/>
      <c r="AL44" s="78"/>
      <c r="AM44" s="78"/>
      <c r="AN44" s="76"/>
      <c r="AO44" s="76"/>
      <c r="AP44" s="76"/>
      <c r="AQ44" s="76"/>
      <c r="AR44" s="76"/>
      <c r="AS44" s="76"/>
      <c r="AT44" s="76"/>
      <c r="AU44" s="76"/>
      <c r="AV44" s="76"/>
      <c r="AW44" s="79"/>
      <c r="AX44" s="79"/>
      <c r="AY44" s="79"/>
      <c r="AZ44" s="79"/>
      <c r="BA44" s="79"/>
      <c r="BB44" s="11"/>
      <c r="BC44" s="11"/>
      <c r="BD44" s="11"/>
      <c r="BE44" s="73"/>
      <c r="BF44" s="73"/>
      <c r="BG44" s="73"/>
      <c r="BH44" s="77"/>
      <c r="BI44" s="77"/>
      <c r="BJ44" s="77"/>
      <c r="BK44" s="77"/>
      <c r="BL44" s="77"/>
      <c r="BM44" s="77"/>
      <c r="BN44" s="158"/>
      <c r="BO44" s="158"/>
    </row>
    <row r="45" spans="1:67" ht="15" x14ac:dyDescent="0.25">
      <c r="A45" s="71"/>
      <c r="B45" s="11"/>
      <c r="C45" s="11"/>
      <c r="D45" s="11"/>
      <c r="E45" s="11"/>
      <c r="F45" s="11"/>
      <c r="G45" s="11"/>
      <c r="H45" s="11"/>
      <c r="I45" s="11"/>
      <c r="J45" s="249"/>
      <c r="K45" s="72"/>
      <c r="L45" s="73"/>
      <c r="M45" s="73"/>
      <c r="N45" s="74"/>
      <c r="O45" s="75"/>
      <c r="P45" s="73"/>
      <c r="Q45" s="76"/>
      <c r="R45" s="76"/>
      <c r="S45" s="76"/>
      <c r="T45" s="76"/>
      <c r="U45" s="76"/>
      <c r="V45" s="76"/>
      <c r="W45" s="76"/>
      <c r="X45" s="76"/>
      <c r="Y45" s="76"/>
      <c r="Z45" s="77"/>
      <c r="AA45" s="77"/>
      <c r="AB45" s="77"/>
      <c r="AC45" s="77"/>
      <c r="AD45" s="77"/>
      <c r="AE45" s="77"/>
      <c r="AF45" s="77"/>
      <c r="AG45" s="77"/>
      <c r="AH45" s="78"/>
      <c r="AI45" s="78"/>
      <c r="AJ45" s="78"/>
      <c r="AK45" s="78"/>
      <c r="AL45" s="78"/>
      <c r="AM45" s="78"/>
      <c r="AN45" s="76"/>
      <c r="AO45" s="76"/>
      <c r="AP45" s="76"/>
      <c r="AQ45" s="76"/>
      <c r="AR45" s="76"/>
      <c r="AS45" s="76"/>
      <c r="AT45" s="76"/>
      <c r="AU45" s="76"/>
      <c r="AV45" s="76"/>
      <c r="AW45" s="79"/>
      <c r="AX45" s="79"/>
      <c r="AY45" s="79"/>
      <c r="AZ45" s="79"/>
      <c r="BA45" s="79"/>
      <c r="BB45" s="11"/>
      <c r="BC45" s="11"/>
      <c r="BD45" s="11"/>
      <c r="BE45" s="73"/>
      <c r="BF45" s="73"/>
      <c r="BG45" s="73"/>
      <c r="BH45" s="77"/>
      <c r="BI45" s="77"/>
      <c r="BJ45" s="77"/>
      <c r="BK45" s="77"/>
      <c r="BL45" s="77"/>
      <c r="BM45" s="77"/>
      <c r="BN45" s="158"/>
      <c r="BO45" s="158"/>
    </row>
    <row r="46" spans="1:67" ht="15" x14ac:dyDescent="0.25">
      <c r="A46" s="71"/>
      <c r="B46" s="11"/>
      <c r="C46" s="11"/>
      <c r="D46" s="11"/>
      <c r="E46" s="11"/>
      <c r="F46" s="11"/>
      <c r="G46" s="11"/>
      <c r="H46" s="11"/>
      <c r="I46" s="11"/>
      <c r="J46" s="249"/>
      <c r="K46" s="72"/>
      <c r="L46" s="73"/>
      <c r="M46" s="73"/>
      <c r="N46" s="74"/>
      <c r="O46" s="75"/>
      <c r="P46" s="73"/>
      <c r="Q46" s="76"/>
      <c r="R46" s="76"/>
      <c r="S46" s="76"/>
      <c r="T46" s="76"/>
      <c r="U46" s="76"/>
      <c r="V46" s="76"/>
      <c r="W46" s="76"/>
      <c r="X46" s="76"/>
      <c r="Y46" s="76"/>
      <c r="Z46" s="77"/>
      <c r="AA46" s="77"/>
      <c r="AB46" s="77"/>
      <c r="AC46" s="77"/>
      <c r="AD46" s="77"/>
      <c r="AE46" s="77"/>
      <c r="AF46" s="77"/>
      <c r="AG46" s="77"/>
      <c r="AH46" s="78"/>
      <c r="AI46" s="78"/>
      <c r="AJ46" s="78"/>
      <c r="AK46" s="78"/>
      <c r="AL46" s="78"/>
      <c r="AM46" s="78"/>
      <c r="AN46" s="76"/>
      <c r="AO46" s="76"/>
      <c r="AP46" s="76"/>
      <c r="AQ46" s="76"/>
      <c r="AR46" s="76"/>
      <c r="AS46" s="76"/>
      <c r="AT46" s="76"/>
      <c r="AU46" s="76"/>
      <c r="AV46" s="76"/>
      <c r="AW46" s="79"/>
      <c r="AX46" s="79"/>
      <c r="AY46" s="79"/>
      <c r="AZ46" s="79"/>
      <c r="BA46" s="79"/>
      <c r="BB46" s="11"/>
      <c r="BC46" s="11"/>
      <c r="BD46" s="11"/>
      <c r="BE46" s="73"/>
      <c r="BF46" s="73"/>
      <c r="BG46" s="73"/>
      <c r="BH46" s="77"/>
      <c r="BI46" s="77"/>
      <c r="BJ46" s="77"/>
      <c r="BK46" s="77"/>
      <c r="BL46" s="77"/>
      <c r="BM46" s="77"/>
      <c r="BN46" s="158"/>
      <c r="BO46" s="158"/>
    </row>
    <row r="47" spans="1:67" ht="15" x14ac:dyDescent="0.25">
      <c r="A47" s="71"/>
      <c r="B47" s="11"/>
      <c r="C47" s="11"/>
      <c r="D47" s="11"/>
      <c r="E47" s="11"/>
      <c r="F47" s="11"/>
      <c r="G47" s="11"/>
      <c r="H47" s="11"/>
      <c r="I47" s="11"/>
      <c r="J47" s="249"/>
      <c r="K47" s="72"/>
      <c r="L47" s="73"/>
      <c r="M47" s="73"/>
      <c r="N47" s="74"/>
      <c r="O47" s="75"/>
      <c r="P47" s="73"/>
      <c r="Q47" s="76"/>
      <c r="R47" s="76"/>
      <c r="S47" s="76"/>
      <c r="T47" s="76"/>
      <c r="U47" s="76"/>
      <c r="V47" s="76"/>
      <c r="W47" s="76"/>
      <c r="X47" s="76"/>
      <c r="Y47" s="76"/>
      <c r="Z47" s="77"/>
      <c r="AA47" s="77"/>
      <c r="AB47" s="77"/>
      <c r="AC47" s="77"/>
      <c r="AD47" s="77"/>
      <c r="AE47" s="77"/>
      <c r="AF47" s="77"/>
      <c r="AG47" s="77"/>
      <c r="AH47" s="78"/>
      <c r="AI47" s="78"/>
      <c r="AJ47" s="78"/>
      <c r="AK47" s="78"/>
      <c r="AL47" s="78"/>
      <c r="AM47" s="78"/>
      <c r="AN47" s="76"/>
      <c r="AO47" s="76"/>
      <c r="AP47" s="76"/>
      <c r="AQ47" s="76"/>
      <c r="AR47" s="76"/>
      <c r="AS47" s="76"/>
      <c r="AT47" s="76"/>
      <c r="AU47" s="76"/>
      <c r="AV47" s="76"/>
      <c r="AW47" s="79"/>
      <c r="AX47" s="79"/>
      <c r="AY47" s="79"/>
      <c r="AZ47" s="79"/>
      <c r="BA47" s="79"/>
      <c r="BB47" s="11"/>
      <c r="BC47" s="11"/>
      <c r="BD47" s="11"/>
      <c r="BE47" s="73"/>
      <c r="BF47" s="73"/>
      <c r="BG47" s="73"/>
      <c r="BH47" s="77"/>
      <c r="BI47" s="77"/>
      <c r="BJ47" s="77"/>
      <c r="BK47" s="77"/>
      <c r="BL47" s="77"/>
      <c r="BM47" s="77"/>
      <c r="BN47" s="158"/>
      <c r="BO47" s="158"/>
    </row>
    <row r="48" spans="1:67" ht="15" x14ac:dyDescent="0.25">
      <c r="A48" s="71"/>
      <c r="B48" s="11"/>
      <c r="C48" s="11"/>
      <c r="D48" s="11"/>
      <c r="E48" s="11"/>
      <c r="F48" s="11"/>
      <c r="G48" s="11"/>
      <c r="H48" s="11"/>
      <c r="I48" s="11"/>
      <c r="J48" s="249"/>
      <c r="K48" s="72"/>
      <c r="L48" s="73"/>
      <c r="M48" s="73"/>
      <c r="N48" s="74"/>
      <c r="O48" s="75"/>
      <c r="P48" s="73"/>
      <c r="Q48" s="76"/>
      <c r="R48" s="76"/>
      <c r="S48" s="76"/>
      <c r="T48" s="76"/>
      <c r="U48" s="76"/>
      <c r="V48" s="76"/>
      <c r="W48" s="76"/>
      <c r="X48" s="76"/>
      <c r="Y48" s="76"/>
      <c r="Z48" s="77"/>
      <c r="AA48" s="77"/>
      <c r="AB48" s="77"/>
      <c r="AC48" s="77"/>
      <c r="AD48" s="77"/>
      <c r="AE48" s="77"/>
      <c r="AF48" s="77"/>
      <c r="AG48" s="77"/>
      <c r="AH48" s="78"/>
      <c r="AI48" s="78"/>
      <c r="AJ48" s="78"/>
      <c r="AK48" s="78"/>
      <c r="AL48" s="78"/>
      <c r="AM48" s="78"/>
      <c r="AN48" s="76"/>
      <c r="AO48" s="76"/>
      <c r="AP48" s="76"/>
      <c r="AQ48" s="76"/>
      <c r="AR48" s="76"/>
      <c r="AS48" s="76"/>
      <c r="AT48" s="76"/>
      <c r="AU48" s="76"/>
      <c r="AV48" s="76"/>
      <c r="AW48" s="79"/>
      <c r="AX48" s="79"/>
      <c r="AY48" s="79"/>
      <c r="AZ48" s="79"/>
      <c r="BA48" s="79"/>
      <c r="BB48" s="11"/>
      <c r="BC48" s="11"/>
      <c r="BD48" s="11"/>
      <c r="BE48" s="73"/>
      <c r="BF48" s="73"/>
      <c r="BG48" s="73"/>
      <c r="BH48" s="77"/>
      <c r="BI48" s="77"/>
      <c r="BJ48" s="77"/>
      <c r="BK48" s="77"/>
      <c r="BL48" s="77"/>
      <c r="BM48" s="77"/>
      <c r="BN48" s="158"/>
      <c r="BO48" s="158"/>
    </row>
    <row r="49" spans="1:67" ht="15" x14ac:dyDescent="0.25">
      <c r="A49" s="71"/>
      <c r="B49" s="11"/>
      <c r="C49" s="11"/>
      <c r="D49" s="11"/>
      <c r="E49" s="11"/>
      <c r="F49" s="11"/>
      <c r="G49" s="11"/>
      <c r="H49" s="11"/>
      <c r="I49" s="11"/>
      <c r="J49" s="249"/>
      <c r="K49" s="72"/>
      <c r="L49" s="73"/>
      <c r="M49" s="73"/>
      <c r="N49" s="74"/>
      <c r="O49" s="75"/>
      <c r="P49" s="73"/>
      <c r="Q49" s="76"/>
      <c r="R49" s="76"/>
      <c r="S49" s="76"/>
      <c r="T49" s="76"/>
      <c r="U49" s="76"/>
      <c r="V49" s="76"/>
      <c r="W49" s="76"/>
      <c r="X49" s="76"/>
      <c r="Y49" s="76"/>
      <c r="Z49" s="77"/>
      <c r="AA49" s="77"/>
      <c r="AB49" s="77"/>
      <c r="AC49" s="77"/>
      <c r="AD49" s="77"/>
      <c r="AE49" s="77"/>
      <c r="AF49" s="77"/>
      <c r="AG49" s="77"/>
      <c r="AH49" s="78"/>
      <c r="AI49" s="78"/>
      <c r="AJ49" s="78"/>
      <c r="AK49" s="78"/>
      <c r="AL49" s="78"/>
      <c r="AM49" s="78"/>
      <c r="AN49" s="76"/>
      <c r="AO49" s="76"/>
      <c r="AP49" s="76"/>
      <c r="AQ49" s="76"/>
      <c r="AR49" s="76"/>
      <c r="AS49" s="76"/>
      <c r="AT49" s="76"/>
      <c r="AU49" s="76"/>
      <c r="AV49" s="76"/>
      <c r="AW49" s="79"/>
      <c r="AX49" s="79"/>
      <c r="AY49" s="79"/>
      <c r="AZ49" s="79"/>
      <c r="BA49" s="79"/>
      <c r="BB49" s="11"/>
      <c r="BC49" s="11"/>
      <c r="BD49" s="11"/>
      <c r="BE49" s="73"/>
      <c r="BF49" s="73"/>
      <c r="BG49" s="73"/>
      <c r="BH49" s="77"/>
      <c r="BI49" s="77"/>
      <c r="BJ49" s="77"/>
      <c r="BK49" s="77"/>
      <c r="BL49" s="77"/>
      <c r="BM49" s="77"/>
      <c r="BN49" s="158"/>
      <c r="BO49" s="158"/>
    </row>
    <row r="50" spans="1:67" ht="15" x14ac:dyDescent="0.25">
      <c r="A50" s="71"/>
      <c r="B50" s="11"/>
      <c r="C50" s="11"/>
      <c r="D50" s="11"/>
      <c r="E50" s="11"/>
      <c r="F50" s="11"/>
      <c r="G50" s="11"/>
      <c r="H50" s="11"/>
      <c r="I50" s="11"/>
      <c r="J50" s="249"/>
      <c r="K50" s="72"/>
      <c r="L50" s="73"/>
      <c r="M50" s="73"/>
      <c r="N50" s="74"/>
      <c r="O50" s="75"/>
      <c r="P50" s="73"/>
      <c r="Q50" s="76"/>
      <c r="R50" s="76"/>
      <c r="S50" s="76"/>
      <c r="T50" s="76"/>
      <c r="U50" s="76"/>
      <c r="V50" s="76"/>
      <c r="W50" s="76"/>
      <c r="X50" s="76"/>
      <c r="Y50" s="76"/>
      <c r="Z50" s="77"/>
      <c r="AA50" s="77"/>
      <c r="AB50" s="77"/>
      <c r="AC50" s="77"/>
      <c r="AD50" s="77"/>
      <c r="AE50" s="77"/>
      <c r="AF50" s="77"/>
      <c r="AG50" s="77"/>
      <c r="AH50" s="78"/>
      <c r="AI50" s="78"/>
      <c r="AJ50" s="78"/>
      <c r="AK50" s="78"/>
      <c r="AL50" s="78"/>
      <c r="AM50" s="78"/>
      <c r="AN50" s="76"/>
      <c r="AO50" s="76"/>
      <c r="AP50" s="76"/>
      <c r="AQ50" s="76"/>
      <c r="AR50" s="76"/>
      <c r="AS50" s="76"/>
      <c r="AT50" s="76"/>
      <c r="AU50" s="76"/>
      <c r="AV50" s="76"/>
      <c r="AW50" s="79"/>
      <c r="AX50" s="79"/>
      <c r="AY50" s="79"/>
      <c r="AZ50" s="79"/>
      <c r="BA50" s="79"/>
      <c r="BB50" s="11"/>
      <c r="BC50" s="11"/>
      <c r="BD50" s="11"/>
      <c r="BE50" s="73"/>
      <c r="BF50" s="73"/>
      <c r="BG50" s="73"/>
      <c r="BH50" s="77"/>
      <c r="BI50" s="77"/>
      <c r="BJ50" s="77"/>
      <c r="BK50" s="77"/>
      <c r="BL50" s="77"/>
      <c r="BM50" s="77"/>
      <c r="BN50" s="158"/>
      <c r="BO50" s="158"/>
    </row>
    <row r="51" spans="1:67" ht="15" x14ac:dyDescent="0.25">
      <c r="A51" s="71"/>
      <c r="B51" s="11"/>
      <c r="C51" s="11"/>
      <c r="D51" s="11"/>
      <c r="E51" s="11"/>
      <c r="F51" s="11"/>
      <c r="G51" s="11"/>
      <c r="H51" s="11"/>
      <c r="I51" s="11"/>
      <c r="J51" s="249"/>
      <c r="K51" s="72"/>
      <c r="L51" s="73"/>
      <c r="M51" s="73"/>
      <c r="N51" s="74"/>
      <c r="O51" s="75"/>
      <c r="P51" s="73"/>
      <c r="Q51" s="76"/>
      <c r="R51" s="76"/>
      <c r="S51" s="76"/>
      <c r="T51" s="76"/>
      <c r="U51" s="76"/>
      <c r="V51" s="76"/>
      <c r="W51" s="76"/>
      <c r="X51" s="76"/>
      <c r="Y51" s="76"/>
      <c r="Z51" s="77"/>
      <c r="AA51" s="77"/>
      <c r="AB51" s="77"/>
      <c r="AC51" s="77"/>
      <c r="AD51" s="77"/>
      <c r="AE51" s="77"/>
      <c r="AF51" s="77"/>
      <c r="AG51" s="77"/>
      <c r="AH51" s="78"/>
      <c r="AI51" s="78"/>
      <c r="AJ51" s="78"/>
      <c r="AK51" s="78"/>
      <c r="AL51" s="78"/>
      <c r="AM51" s="78"/>
      <c r="AN51" s="76"/>
      <c r="AO51" s="76"/>
      <c r="AP51" s="76"/>
      <c r="AQ51" s="76"/>
      <c r="AR51" s="76"/>
      <c r="AS51" s="76"/>
      <c r="AT51" s="76"/>
      <c r="AU51" s="76"/>
      <c r="AV51" s="76"/>
      <c r="AW51" s="79"/>
      <c r="AX51" s="79"/>
      <c r="AY51" s="79"/>
      <c r="AZ51" s="79"/>
      <c r="BA51" s="79"/>
      <c r="BB51" s="11"/>
      <c r="BC51" s="11"/>
      <c r="BD51" s="11"/>
      <c r="BE51" s="73"/>
      <c r="BF51" s="73"/>
      <c r="BG51" s="73"/>
      <c r="BH51" s="77"/>
      <c r="BI51" s="77"/>
      <c r="BJ51" s="77"/>
      <c r="BK51" s="77"/>
      <c r="BL51" s="77"/>
      <c r="BM51" s="77"/>
      <c r="BN51" s="158"/>
      <c r="BO51" s="158"/>
    </row>
    <row r="52" spans="1:67" ht="15" x14ac:dyDescent="0.25">
      <c r="A52" s="71"/>
      <c r="B52" s="11"/>
      <c r="C52" s="11"/>
      <c r="D52" s="11"/>
      <c r="E52" s="11"/>
      <c r="F52" s="11"/>
      <c r="G52" s="11"/>
      <c r="H52" s="11"/>
      <c r="I52" s="11"/>
      <c r="J52" s="249"/>
      <c r="K52" s="72"/>
      <c r="L52" s="73"/>
      <c r="M52" s="73"/>
      <c r="N52" s="74"/>
      <c r="O52" s="75"/>
      <c r="P52" s="73"/>
      <c r="Q52" s="76"/>
      <c r="R52" s="76"/>
      <c r="S52" s="76"/>
      <c r="T52" s="76"/>
      <c r="U52" s="76"/>
      <c r="V52" s="76"/>
      <c r="W52" s="76"/>
      <c r="X52" s="76"/>
      <c r="Y52" s="76"/>
      <c r="Z52" s="77"/>
      <c r="AA52" s="77"/>
      <c r="AB52" s="77"/>
      <c r="AC52" s="77"/>
      <c r="AD52" s="77"/>
      <c r="AE52" s="77"/>
      <c r="AF52" s="77"/>
      <c r="AG52" s="77"/>
      <c r="AH52" s="78"/>
      <c r="AI52" s="78"/>
      <c r="AJ52" s="78"/>
      <c r="AK52" s="78"/>
      <c r="AL52" s="78"/>
      <c r="AM52" s="78"/>
      <c r="AN52" s="76"/>
      <c r="AO52" s="76"/>
      <c r="AP52" s="76"/>
      <c r="AQ52" s="76"/>
      <c r="AR52" s="76"/>
      <c r="AS52" s="76"/>
      <c r="AT52" s="76"/>
      <c r="AU52" s="76"/>
      <c r="AV52" s="76"/>
      <c r="AW52" s="79"/>
      <c r="AX52" s="79"/>
      <c r="AY52" s="79"/>
      <c r="AZ52" s="79"/>
      <c r="BA52" s="79"/>
      <c r="BB52" s="11"/>
      <c r="BC52" s="11"/>
      <c r="BD52" s="11"/>
      <c r="BE52" s="73"/>
      <c r="BF52" s="73"/>
      <c r="BG52" s="73"/>
      <c r="BH52" s="77"/>
      <c r="BI52" s="77"/>
      <c r="BJ52" s="77"/>
      <c r="BK52" s="77"/>
      <c r="BL52" s="77"/>
      <c r="BM52" s="77"/>
      <c r="BN52" s="158"/>
      <c r="BO52" s="158"/>
    </row>
    <row r="53" spans="1:67" ht="15" x14ac:dyDescent="0.25">
      <c r="A53" s="71"/>
      <c r="B53" s="11"/>
      <c r="C53" s="11"/>
      <c r="D53" s="11"/>
      <c r="E53" s="11"/>
      <c r="F53" s="11"/>
      <c r="G53" s="11"/>
      <c r="H53" s="11"/>
      <c r="I53" s="11"/>
      <c r="J53" s="249"/>
      <c r="K53" s="72"/>
      <c r="L53" s="73"/>
      <c r="M53" s="73"/>
      <c r="N53" s="74"/>
      <c r="O53" s="75"/>
      <c r="P53" s="73"/>
      <c r="Q53" s="76"/>
      <c r="R53" s="76"/>
      <c r="S53" s="76"/>
      <c r="T53" s="76"/>
      <c r="U53" s="76"/>
      <c r="V53" s="76"/>
      <c r="W53" s="76"/>
      <c r="X53" s="76"/>
      <c r="Y53" s="76"/>
      <c r="Z53" s="77"/>
      <c r="AA53" s="77"/>
      <c r="AB53" s="77"/>
      <c r="AC53" s="77"/>
      <c r="AD53" s="77"/>
      <c r="AE53" s="77"/>
      <c r="AF53" s="77"/>
      <c r="AG53" s="77"/>
      <c r="AH53" s="78"/>
      <c r="AI53" s="78"/>
      <c r="AJ53" s="78"/>
      <c r="AK53" s="78"/>
      <c r="AL53" s="78"/>
      <c r="AM53" s="78"/>
      <c r="AN53" s="76"/>
      <c r="AO53" s="76"/>
      <c r="AP53" s="76"/>
      <c r="AQ53" s="76"/>
      <c r="AR53" s="76"/>
      <c r="AS53" s="76"/>
      <c r="AT53" s="76"/>
      <c r="AU53" s="76"/>
      <c r="AV53" s="76"/>
      <c r="AW53" s="79"/>
      <c r="AX53" s="79"/>
      <c r="AY53" s="79"/>
      <c r="AZ53" s="79"/>
      <c r="BA53" s="79"/>
      <c r="BB53" s="11"/>
      <c r="BC53" s="11"/>
      <c r="BD53" s="11"/>
      <c r="BE53" s="73"/>
      <c r="BF53" s="73"/>
      <c r="BG53" s="73"/>
      <c r="BH53" s="77"/>
      <c r="BI53" s="77"/>
      <c r="BJ53" s="77"/>
      <c r="BK53" s="77"/>
      <c r="BL53" s="77"/>
      <c r="BM53" s="77"/>
      <c r="BN53" s="158"/>
      <c r="BO53" s="158"/>
    </row>
    <row r="54" spans="1:67" ht="15" x14ac:dyDescent="0.25">
      <c r="A54" s="71"/>
      <c r="B54" s="11"/>
      <c r="C54" s="11"/>
      <c r="D54" s="11"/>
      <c r="E54" s="11"/>
      <c r="F54" s="11"/>
      <c r="G54" s="11"/>
      <c r="H54" s="11"/>
      <c r="I54" s="11"/>
      <c r="J54" s="249"/>
      <c r="K54" s="72"/>
      <c r="L54" s="73"/>
      <c r="M54" s="73"/>
      <c r="N54" s="74"/>
      <c r="O54" s="75"/>
      <c r="P54" s="73"/>
      <c r="Q54" s="76"/>
      <c r="R54" s="76"/>
      <c r="S54" s="76"/>
      <c r="T54" s="76"/>
      <c r="U54" s="76"/>
      <c r="V54" s="76"/>
      <c r="W54" s="76"/>
      <c r="X54" s="76"/>
      <c r="Y54" s="76"/>
      <c r="Z54" s="77"/>
      <c r="AA54" s="77"/>
      <c r="AB54" s="77"/>
      <c r="AC54" s="77"/>
      <c r="AD54" s="77"/>
      <c r="AE54" s="77"/>
      <c r="AF54" s="77"/>
      <c r="AG54" s="77"/>
      <c r="AH54" s="78"/>
      <c r="AI54" s="78"/>
      <c r="AJ54" s="78"/>
      <c r="AK54" s="78"/>
      <c r="AL54" s="78"/>
      <c r="AM54" s="78"/>
      <c r="AN54" s="76"/>
      <c r="AO54" s="76"/>
      <c r="AP54" s="76"/>
      <c r="AQ54" s="76"/>
      <c r="AR54" s="76"/>
      <c r="AS54" s="76"/>
      <c r="AT54" s="76"/>
      <c r="AU54" s="76"/>
      <c r="AV54" s="76"/>
      <c r="AW54" s="79"/>
      <c r="AX54" s="79"/>
      <c r="AY54" s="79"/>
      <c r="AZ54" s="79"/>
      <c r="BA54" s="79"/>
      <c r="BB54" s="11"/>
      <c r="BC54" s="11"/>
      <c r="BD54" s="11"/>
      <c r="BE54" s="73"/>
      <c r="BF54" s="73"/>
      <c r="BG54" s="73"/>
      <c r="BH54" s="77"/>
      <c r="BI54" s="77"/>
      <c r="BJ54" s="77"/>
      <c r="BK54" s="77"/>
      <c r="BL54" s="77"/>
      <c r="BM54" s="77"/>
      <c r="BN54" s="158"/>
      <c r="BO54" s="158"/>
    </row>
    <row r="55" spans="1:67" ht="15" x14ac:dyDescent="0.25">
      <c r="A55" s="71"/>
      <c r="B55" s="11"/>
      <c r="C55" s="11"/>
      <c r="D55" s="11"/>
      <c r="E55" s="11"/>
      <c r="F55" s="11"/>
      <c r="G55" s="11"/>
      <c r="H55" s="11"/>
      <c r="I55" s="11"/>
      <c r="J55" s="249"/>
      <c r="K55" s="72"/>
      <c r="L55" s="73"/>
      <c r="M55" s="73"/>
      <c r="N55" s="74"/>
      <c r="O55" s="75"/>
      <c r="P55" s="73"/>
      <c r="Q55" s="76"/>
      <c r="R55" s="76"/>
      <c r="S55" s="76"/>
      <c r="T55" s="76"/>
      <c r="U55" s="76"/>
      <c r="V55" s="76"/>
      <c r="W55" s="76"/>
      <c r="X55" s="76"/>
      <c r="Y55" s="76"/>
      <c r="Z55" s="77"/>
      <c r="AA55" s="77"/>
      <c r="AB55" s="77"/>
      <c r="AC55" s="77"/>
      <c r="AD55" s="77"/>
      <c r="AE55" s="77"/>
      <c r="AF55" s="77"/>
      <c r="AG55" s="77"/>
      <c r="AH55" s="78"/>
      <c r="AI55" s="78"/>
      <c r="AJ55" s="78"/>
      <c r="AK55" s="78"/>
      <c r="AL55" s="78"/>
      <c r="AM55" s="78"/>
      <c r="AN55" s="76"/>
      <c r="AO55" s="76"/>
      <c r="AP55" s="76"/>
      <c r="AQ55" s="76"/>
      <c r="AR55" s="76"/>
      <c r="AS55" s="76"/>
      <c r="AT55" s="76"/>
      <c r="AU55" s="76"/>
      <c r="AV55" s="76"/>
      <c r="AW55" s="79"/>
      <c r="AX55" s="79"/>
      <c r="AY55" s="79"/>
      <c r="AZ55" s="79"/>
      <c r="BA55" s="79"/>
      <c r="BB55" s="11"/>
      <c r="BC55" s="11"/>
      <c r="BD55" s="11"/>
      <c r="BE55" s="73"/>
      <c r="BF55" s="73"/>
      <c r="BG55" s="73"/>
      <c r="BH55" s="77"/>
      <c r="BI55" s="77"/>
      <c r="BJ55" s="77"/>
      <c r="BK55" s="77"/>
      <c r="BL55" s="77"/>
      <c r="BM55" s="77"/>
      <c r="BN55" s="158"/>
      <c r="BO55" s="158"/>
    </row>
    <row r="56" spans="1:67" ht="15" x14ac:dyDescent="0.25">
      <c r="A56" s="71"/>
      <c r="B56" s="11"/>
      <c r="C56" s="11"/>
      <c r="D56" s="11"/>
      <c r="E56" s="11"/>
      <c r="F56" s="11"/>
      <c r="G56" s="11"/>
      <c r="H56" s="11"/>
      <c r="I56" s="11"/>
      <c r="J56" s="249"/>
      <c r="K56" s="72"/>
      <c r="L56" s="73"/>
      <c r="M56" s="73"/>
      <c r="N56" s="74"/>
      <c r="O56" s="75"/>
      <c r="P56" s="73"/>
      <c r="Q56" s="76"/>
      <c r="R56" s="76"/>
      <c r="S56" s="76"/>
      <c r="T56" s="76"/>
      <c r="U56" s="76"/>
      <c r="V56" s="76"/>
      <c r="W56" s="76"/>
      <c r="X56" s="76"/>
      <c r="Y56" s="76"/>
      <c r="Z56" s="77"/>
      <c r="AA56" s="77"/>
      <c r="AB56" s="77"/>
      <c r="AC56" s="77"/>
      <c r="AD56" s="77"/>
      <c r="AE56" s="77"/>
      <c r="AF56" s="77"/>
      <c r="AG56" s="77"/>
      <c r="AH56" s="78"/>
      <c r="AI56" s="78"/>
      <c r="AJ56" s="78"/>
      <c r="AK56" s="78"/>
      <c r="AL56" s="78"/>
      <c r="AM56" s="78"/>
      <c r="AN56" s="76"/>
      <c r="AO56" s="76"/>
      <c r="AP56" s="76"/>
      <c r="AQ56" s="76"/>
      <c r="AR56" s="76"/>
      <c r="AS56" s="76"/>
      <c r="AT56" s="76"/>
      <c r="AU56" s="76"/>
      <c r="AV56" s="76"/>
      <c r="AW56" s="79"/>
      <c r="AX56" s="79"/>
      <c r="AY56" s="79"/>
      <c r="AZ56" s="79"/>
      <c r="BA56" s="79"/>
      <c r="BB56" s="11"/>
      <c r="BC56" s="11"/>
      <c r="BD56" s="11"/>
      <c r="BE56" s="73"/>
      <c r="BF56" s="73"/>
      <c r="BG56" s="73"/>
      <c r="BH56" s="77"/>
      <c r="BI56" s="77"/>
      <c r="BJ56" s="77"/>
      <c r="BK56" s="77"/>
      <c r="BL56" s="77"/>
      <c r="BM56" s="77"/>
      <c r="BN56" s="158"/>
      <c r="BO56" s="158"/>
    </row>
    <row r="57" spans="1:67" ht="15" x14ac:dyDescent="0.25">
      <c r="A57" s="71"/>
      <c r="B57" s="11"/>
      <c r="C57" s="11"/>
      <c r="D57" s="11"/>
      <c r="E57" s="11"/>
      <c r="F57" s="11"/>
      <c r="G57" s="11"/>
      <c r="H57" s="11"/>
      <c r="I57" s="11"/>
      <c r="J57" s="249"/>
      <c r="K57" s="72"/>
      <c r="L57" s="73"/>
      <c r="M57" s="73"/>
      <c r="N57" s="74"/>
      <c r="O57" s="75"/>
      <c r="P57" s="73"/>
      <c r="Q57" s="76"/>
      <c r="R57" s="76"/>
      <c r="S57" s="76"/>
      <c r="T57" s="76"/>
      <c r="U57" s="76"/>
      <c r="V57" s="76"/>
      <c r="W57" s="76"/>
      <c r="X57" s="76"/>
      <c r="Y57" s="76"/>
      <c r="Z57" s="77"/>
      <c r="AA57" s="77"/>
      <c r="AB57" s="77"/>
      <c r="AC57" s="77"/>
      <c r="AD57" s="77"/>
      <c r="AE57" s="77"/>
      <c r="AF57" s="77"/>
      <c r="AG57" s="77"/>
      <c r="AH57" s="78"/>
      <c r="AI57" s="78"/>
      <c r="AJ57" s="78"/>
      <c r="AK57" s="78"/>
      <c r="AL57" s="78"/>
      <c r="AM57" s="78"/>
      <c r="AN57" s="76"/>
      <c r="AO57" s="76"/>
      <c r="AP57" s="76"/>
      <c r="AQ57" s="76"/>
      <c r="AR57" s="76"/>
      <c r="AS57" s="76"/>
      <c r="AT57" s="76"/>
      <c r="AU57" s="76"/>
      <c r="AV57" s="76"/>
      <c r="AW57" s="79"/>
      <c r="AX57" s="79"/>
      <c r="AY57" s="79"/>
      <c r="AZ57" s="79"/>
      <c r="BA57" s="79"/>
      <c r="BB57" s="11"/>
      <c r="BC57" s="11"/>
      <c r="BD57" s="11"/>
      <c r="BE57" s="73"/>
      <c r="BF57" s="73"/>
      <c r="BG57" s="73"/>
      <c r="BH57" s="77"/>
      <c r="BI57" s="77"/>
      <c r="BJ57" s="77"/>
      <c r="BK57" s="77"/>
      <c r="BL57" s="77"/>
      <c r="BM57" s="77"/>
      <c r="BN57" s="158"/>
      <c r="BO57" s="158"/>
    </row>
    <row r="58" spans="1:67" ht="15" x14ac:dyDescent="0.25">
      <c r="A58" s="71"/>
      <c r="B58" s="11"/>
      <c r="C58" s="11"/>
      <c r="D58" s="11"/>
      <c r="E58" s="11"/>
      <c r="F58" s="11"/>
      <c r="G58" s="11"/>
      <c r="H58" s="11"/>
      <c r="I58" s="11"/>
      <c r="J58" s="249"/>
      <c r="K58" s="72"/>
      <c r="L58" s="73"/>
      <c r="M58" s="73"/>
      <c r="N58" s="74"/>
      <c r="O58" s="75"/>
      <c r="P58" s="73"/>
      <c r="Q58" s="76"/>
      <c r="R58" s="76"/>
      <c r="S58" s="76"/>
      <c r="T58" s="76"/>
      <c r="U58" s="76"/>
      <c r="V58" s="76"/>
      <c r="W58" s="76"/>
      <c r="X58" s="76"/>
      <c r="Y58" s="76"/>
      <c r="Z58" s="77"/>
      <c r="AA58" s="77"/>
      <c r="AB58" s="77"/>
      <c r="AC58" s="77"/>
      <c r="AD58" s="77"/>
      <c r="AE58" s="77"/>
      <c r="AF58" s="77"/>
      <c r="AG58" s="77"/>
      <c r="AH58" s="78"/>
      <c r="AI58" s="78"/>
      <c r="AJ58" s="78"/>
      <c r="AK58" s="78"/>
      <c r="AL58" s="78"/>
      <c r="AM58" s="78"/>
      <c r="AN58" s="76"/>
      <c r="AO58" s="76"/>
      <c r="AP58" s="76"/>
      <c r="AQ58" s="76"/>
      <c r="AR58" s="76"/>
      <c r="AS58" s="76"/>
      <c r="AT58" s="76"/>
      <c r="AU58" s="76"/>
      <c r="AV58" s="76"/>
      <c r="AW58" s="79"/>
      <c r="AX58" s="79"/>
      <c r="AY58" s="79"/>
      <c r="AZ58" s="79"/>
      <c r="BA58" s="79"/>
      <c r="BB58" s="11"/>
      <c r="BC58" s="11"/>
      <c r="BD58" s="11"/>
      <c r="BE58" s="73"/>
      <c r="BF58" s="73"/>
      <c r="BG58" s="73"/>
      <c r="BH58" s="77"/>
      <c r="BI58" s="77"/>
      <c r="BJ58" s="77"/>
      <c r="BK58" s="77"/>
      <c r="BL58" s="77"/>
      <c r="BM58" s="77"/>
      <c r="BN58" s="158"/>
      <c r="BO58" s="158"/>
    </row>
    <row r="59" spans="1:67" ht="15" x14ac:dyDescent="0.25">
      <c r="A59" s="71"/>
      <c r="B59" s="11"/>
      <c r="C59" s="11"/>
      <c r="D59" s="11"/>
      <c r="E59" s="11"/>
      <c r="F59" s="11"/>
      <c r="G59" s="11"/>
      <c r="H59" s="11"/>
      <c r="I59" s="11"/>
      <c r="J59" s="249"/>
      <c r="K59" s="72"/>
      <c r="L59" s="73"/>
      <c r="M59" s="73"/>
      <c r="N59" s="74"/>
      <c r="O59" s="75"/>
      <c r="P59" s="73"/>
      <c r="Q59" s="76"/>
      <c r="R59" s="76"/>
      <c r="S59" s="76"/>
      <c r="T59" s="76"/>
      <c r="U59" s="76"/>
      <c r="V59" s="76"/>
      <c r="W59" s="76"/>
      <c r="X59" s="76"/>
      <c r="Y59" s="76"/>
      <c r="Z59" s="77"/>
      <c r="AA59" s="77"/>
      <c r="AB59" s="77"/>
      <c r="AC59" s="77"/>
      <c r="AD59" s="77"/>
      <c r="AE59" s="77"/>
      <c r="AF59" s="77"/>
      <c r="AG59" s="77"/>
      <c r="AH59" s="78"/>
      <c r="AI59" s="78"/>
      <c r="AJ59" s="78"/>
      <c r="AK59" s="78"/>
      <c r="AL59" s="78"/>
      <c r="AM59" s="78"/>
      <c r="AN59" s="76"/>
      <c r="AO59" s="76"/>
      <c r="AP59" s="76"/>
      <c r="AQ59" s="76"/>
      <c r="AR59" s="76"/>
      <c r="AS59" s="76"/>
      <c r="AT59" s="76"/>
      <c r="AU59" s="76"/>
      <c r="AV59" s="76"/>
      <c r="AW59" s="79"/>
      <c r="AX59" s="79"/>
      <c r="AY59" s="79"/>
      <c r="AZ59" s="79"/>
      <c r="BA59" s="79"/>
      <c r="BB59" s="11"/>
      <c r="BC59" s="11"/>
      <c r="BD59" s="11"/>
      <c r="BE59" s="73"/>
      <c r="BF59" s="73"/>
      <c r="BG59" s="73"/>
      <c r="BH59" s="77"/>
      <c r="BI59" s="77"/>
      <c r="BJ59" s="77"/>
      <c r="BK59" s="77"/>
      <c r="BL59" s="77"/>
      <c r="BM59" s="77"/>
      <c r="BN59" s="158"/>
      <c r="BO59" s="158"/>
    </row>
    <row r="60" spans="1:67" ht="15" x14ac:dyDescent="0.25">
      <c r="A60" s="71"/>
      <c r="B60" s="11"/>
      <c r="C60" s="11"/>
      <c r="D60" s="11"/>
      <c r="E60" s="11"/>
      <c r="F60" s="11"/>
      <c r="G60" s="11"/>
      <c r="H60" s="11"/>
      <c r="I60" s="11"/>
      <c r="J60" s="249"/>
      <c r="K60" s="72"/>
      <c r="L60" s="73"/>
      <c r="M60" s="73"/>
      <c r="N60" s="74"/>
      <c r="O60" s="75"/>
      <c r="P60" s="73"/>
      <c r="Q60" s="76"/>
      <c r="R60" s="76"/>
      <c r="S60" s="76"/>
      <c r="T60" s="76"/>
      <c r="U60" s="76"/>
      <c r="V60" s="76"/>
      <c r="W60" s="76"/>
      <c r="X60" s="76"/>
      <c r="Y60" s="76"/>
      <c r="Z60" s="77"/>
      <c r="AA60" s="77"/>
      <c r="AB60" s="77"/>
      <c r="AC60" s="77"/>
      <c r="AD60" s="77"/>
      <c r="AE60" s="77"/>
      <c r="AF60" s="77"/>
      <c r="AG60" s="77"/>
      <c r="AH60" s="78"/>
      <c r="AI60" s="78"/>
      <c r="AJ60" s="78"/>
      <c r="AK60" s="78"/>
      <c r="AL60" s="78"/>
      <c r="AM60" s="78"/>
      <c r="AN60" s="76"/>
      <c r="AO60" s="76"/>
      <c r="AP60" s="76"/>
      <c r="AQ60" s="76"/>
      <c r="AR60" s="76"/>
      <c r="AS60" s="76"/>
      <c r="AT60" s="76"/>
      <c r="AU60" s="76"/>
      <c r="AV60" s="76"/>
      <c r="AW60" s="79"/>
      <c r="AX60" s="79"/>
      <c r="AY60" s="79"/>
      <c r="AZ60" s="79"/>
      <c r="BA60" s="79"/>
      <c r="BB60" s="11"/>
      <c r="BC60" s="11"/>
      <c r="BD60" s="11"/>
      <c r="BE60" s="73"/>
      <c r="BF60" s="73"/>
      <c r="BG60" s="73"/>
      <c r="BH60" s="77"/>
      <c r="BI60" s="77"/>
      <c r="BJ60" s="77"/>
      <c r="BK60" s="77"/>
      <c r="BL60" s="77"/>
      <c r="BM60" s="77"/>
      <c r="BN60" s="158"/>
      <c r="BO60" s="158"/>
    </row>
    <row r="61" spans="1:67" ht="15" x14ac:dyDescent="0.25">
      <c r="A61" s="71"/>
      <c r="B61" s="11"/>
      <c r="C61" s="11"/>
      <c r="D61" s="11"/>
      <c r="E61" s="11"/>
      <c r="F61" s="11"/>
      <c r="G61" s="11"/>
      <c r="H61" s="11"/>
      <c r="I61" s="11"/>
      <c r="J61" s="249"/>
      <c r="K61" s="72"/>
      <c r="L61" s="73"/>
      <c r="M61" s="73"/>
      <c r="N61" s="74"/>
      <c r="O61" s="75"/>
      <c r="P61" s="73"/>
      <c r="Q61" s="76"/>
      <c r="R61" s="76"/>
      <c r="S61" s="76"/>
      <c r="T61" s="76"/>
      <c r="U61" s="76"/>
      <c r="V61" s="76"/>
      <c r="W61" s="76"/>
      <c r="X61" s="76"/>
      <c r="Y61" s="76"/>
      <c r="Z61" s="77"/>
      <c r="AA61" s="77"/>
      <c r="AB61" s="77"/>
      <c r="AC61" s="77"/>
      <c r="AD61" s="77"/>
      <c r="AE61" s="77"/>
      <c r="AF61" s="77"/>
      <c r="AG61" s="77"/>
      <c r="AH61" s="78"/>
      <c r="AI61" s="78"/>
      <c r="AJ61" s="78"/>
      <c r="AK61" s="78"/>
      <c r="AL61" s="78"/>
      <c r="AM61" s="78"/>
      <c r="AN61" s="76"/>
      <c r="AO61" s="76"/>
      <c r="AP61" s="76"/>
      <c r="AQ61" s="76"/>
      <c r="AR61" s="76"/>
      <c r="AS61" s="76"/>
      <c r="AT61" s="76"/>
      <c r="AU61" s="76"/>
      <c r="AV61" s="76"/>
      <c r="AW61" s="79"/>
      <c r="AX61" s="79"/>
      <c r="AY61" s="79"/>
      <c r="AZ61" s="79"/>
      <c r="BA61" s="79"/>
      <c r="BB61" s="11"/>
      <c r="BC61" s="11"/>
      <c r="BD61" s="11"/>
      <c r="BE61" s="73"/>
      <c r="BF61" s="73"/>
      <c r="BG61" s="73"/>
      <c r="BH61" s="77"/>
      <c r="BI61" s="77"/>
      <c r="BJ61" s="77"/>
      <c r="BK61" s="77"/>
      <c r="BL61" s="77"/>
      <c r="BM61" s="77"/>
      <c r="BN61" s="158"/>
      <c r="BO61" s="158"/>
    </row>
    <row r="62" spans="1:67" ht="15" x14ac:dyDescent="0.25">
      <c r="A62" s="71"/>
      <c r="B62" s="11"/>
      <c r="C62" s="11"/>
      <c r="D62" s="11"/>
      <c r="E62" s="11"/>
      <c r="F62" s="11"/>
      <c r="G62" s="11"/>
      <c r="H62" s="11"/>
      <c r="I62" s="11"/>
      <c r="J62" s="249"/>
      <c r="K62" s="72"/>
      <c r="L62" s="73"/>
      <c r="M62" s="73"/>
      <c r="N62" s="74"/>
      <c r="O62" s="75"/>
      <c r="P62" s="73"/>
      <c r="Q62" s="76"/>
      <c r="R62" s="76"/>
      <c r="S62" s="76"/>
      <c r="T62" s="76"/>
      <c r="U62" s="76"/>
      <c r="V62" s="76"/>
      <c r="W62" s="76"/>
      <c r="X62" s="76"/>
      <c r="Y62" s="76"/>
      <c r="Z62" s="77"/>
      <c r="AA62" s="77"/>
      <c r="AB62" s="77"/>
      <c r="AC62" s="77"/>
      <c r="AD62" s="77"/>
      <c r="AE62" s="77"/>
      <c r="AF62" s="77"/>
      <c r="AG62" s="77"/>
      <c r="AH62" s="78"/>
      <c r="AI62" s="78"/>
      <c r="AJ62" s="78"/>
      <c r="AK62" s="78"/>
      <c r="AL62" s="78"/>
      <c r="AM62" s="78"/>
      <c r="AN62" s="76"/>
      <c r="AO62" s="76"/>
      <c r="AP62" s="76"/>
      <c r="AQ62" s="76"/>
      <c r="AR62" s="76"/>
      <c r="AS62" s="76"/>
      <c r="AT62" s="76"/>
      <c r="AU62" s="76"/>
      <c r="AV62" s="76"/>
      <c r="AW62" s="79"/>
      <c r="AX62" s="79"/>
      <c r="AY62" s="79"/>
      <c r="AZ62" s="79"/>
      <c r="BA62" s="79"/>
      <c r="BB62" s="11"/>
      <c r="BC62" s="11"/>
      <c r="BD62" s="11"/>
      <c r="BE62" s="73"/>
      <c r="BF62" s="73"/>
      <c r="BG62" s="73"/>
      <c r="BH62" s="77"/>
      <c r="BI62" s="77"/>
      <c r="BJ62" s="77"/>
      <c r="BK62" s="77"/>
      <c r="BL62" s="77"/>
      <c r="BM62" s="77"/>
      <c r="BN62" s="158"/>
      <c r="BO62" s="158"/>
    </row>
    <row r="63" spans="1:67" ht="15" x14ac:dyDescent="0.25">
      <c r="A63" s="71"/>
      <c r="B63" s="11"/>
      <c r="C63" s="11"/>
      <c r="D63" s="11"/>
      <c r="E63" s="11"/>
      <c r="F63" s="11"/>
      <c r="G63" s="11"/>
      <c r="H63" s="11"/>
      <c r="I63" s="11"/>
      <c r="J63" s="249"/>
      <c r="K63" s="72"/>
      <c r="L63" s="73"/>
      <c r="M63" s="73"/>
      <c r="N63" s="74"/>
      <c r="O63" s="75"/>
      <c r="P63" s="73"/>
      <c r="Q63" s="76"/>
      <c r="R63" s="76"/>
      <c r="S63" s="76"/>
      <c r="T63" s="76"/>
      <c r="U63" s="76"/>
      <c r="V63" s="76"/>
      <c r="W63" s="76"/>
      <c r="X63" s="76"/>
      <c r="Y63" s="76"/>
      <c r="Z63" s="77"/>
      <c r="AA63" s="77"/>
      <c r="AB63" s="77"/>
      <c r="AC63" s="77"/>
      <c r="AD63" s="77"/>
      <c r="AE63" s="77"/>
      <c r="AF63" s="77"/>
      <c r="AG63" s="77"/>
      <c r="AH63" s="78"/>
      <c r="AI63" s="78"/>
      <c r="AJ63" s="78"/>
      <c r="AK63" s="78"/>
      <c r="AL63" s="78"/>
      <c r="AM63" s="78"/>
      <c r="AN63" s="76"/>
      <c r="AO63" s="76"/>
      <c r="AP63" s="76"/>
      <c r="AQ63" s="76"/>
      <c r="AR63" s="76"/>
      <c r="AS63" s="76"/>
      <c r="AT63" s="76"/>
      <c r="AU63" s="76"/>
      <c r="AV63" s="76"/>
      <c r="AW63" s="79"/>
      <c r="AX63" s="79"/>
      <c r="AY63" s="79"/>
      <c r="AZ63" s="79"/>
      <c r="BA63" s="79"/>
      <c r="BB63" s="11"/>
      <c r="BC63" s="11"/>
      <c r="BD63" s="11"/>
      <c r="BE63" s="73"/>
      <c r="BF63" s="73"/>
      <c r="BG63" s="73"/>
      <c r="BH63" s="77"/>
      <c r="BI63" s="77"/>
      <c r="BJ63" s="77"/>
      <c r="BK63" s="77"/>
      <c r="BL63" s="77"/>
      <c r="BM63" s="77"/>
      <c r="BN63" s="158"/>
      <c r="BO63" s="158"/>
    </row>
    <row r="64" spans="1:67" ht="15" x14ac:dyDescent="0.25">
      <c r="A64" s="71"/>
      <c r="B64" s="11"/>
      <c r="C64" s="11"/>
      <c r="D64" s="11"/>
      <c r="E64" s="11"/>
      <c r="F64" s="11"/>
      <c r="G64" s="11"/>
      <c r="H64" s="11"/>
      <c r="I64" s="11"/>
      <c r="J64" s="249"/>
      <c r="K64" s="72"/>
      <c r="L64" s="73"/>
      <c r="M64" s="73"/>
      <c r="N64" s="74"/>
      <c r="O64" s="75"/>
      <c r="P64" s="73"/>
      <c r="Q64" s="76"/>
      <c r="R64" s="76"/>
      <c r="S64" s="76"/>
      <c r="T64" s="76"/>
      <c r="U64" s="76"/>
      <c r="V64" s="76"/>
      <c r="W64" s="76"/>
      <c r="X64" s="76"/>
      <c r="Y64" s="76"/>
      <c r="Z64" s="77"/>
      <c r="AA64" s="77"/>
      <c r="AB64" s="77"/>
      <c r="AC64" s="77"/>
      <c r="AD64" s="77"/>
      <c r="AE64" s="77"/>
      <c r="AF64" s="77"/>
      <c r="AG64" s="77"/>
      <c r="AH64" s="78"/>
      <c r="AI64" s="78"/>
      <c r="AJ64" s="78"/>
      <c r="AK64" s="78"/>
      <c r="AL64" s="78"/>
      <c r="AM64" s="78"/>
      <c r="AN64" s="76"/>
      <c r="AO64" s="76"/>
      <c r="AP64" s="76"/>
      <c r="AQ64" s="76"/>
      <c r="AR64" s="76"/>
      <c r="AS64" s="76"/>
      <c r="AT64" s="76"/>
      <c r="AU64" s="76"/>
      <c r="AV64" s="76"/>
      <c r="AW64" s="79"/>
      <c r="AX64" s="79"/>
      <c r="AY64" s="79"/>
      <c r="AZ64" s="79"/>
      <c r="BA64" s="79"/>
      <c r="BB64" s="11"/>
      <c r="BC64" s="11"/>
      <c r="BD64" s="11"/>
      <c r="BE64" s="73"/>
      <c r="BF64" s="73"/>
      <c r="BG64" s="73"/>
      <c r="BH64" s="77"/>
      <c r="BI64" s="77"/>
      <c r="BJ64" s="77"/>
      <c r="BK64" s="77"/>
      <c r="BL64" s="77"/>
      <c r="BM64" s="77"/>
      <c r="BN64" s="158"/>
      <c r="BO64" s="158"/>
    </row>
    <row r="65" spans="1:67" ht="15" x14ac:dyDescent="0.25">
      <c r="A65" s="71"/>
      <c r="B65" s="11"/>
      <c r="C65" s="11"/>
      <c r="D65" s="11"/>
      <c r="E65" s="11"/>
      <c r="F65" s="11"/>
      <c r="G65" s="11"/>
      <c r="H65" s="11"/>
      <c r="I65" s="11"/>
      <c r="J65" s="249"/>
      <c r="K65" s="72"/>
      <c r="L65" s="73"/>
      <c r="M65" s="73"/>
      <c r="N65" s="74"/>
      <c r="O65" s="75"/>
      <c r="P65" s="73"/>
      <c r="Q65" s="76"/>
      <c r="R65" s="76"/>
      <c r="S65" s="76"/>
      <c r="T65" s="76"/>
      <c r="U65" s="76"/>
      <c r="V65" s="76"/>
      <c r="W65" s="76"/>
      <c r="X65" s="76"/>
      <c r="Y65" s="76"/>
      <c r="Z65" s="77"/>
      <c r="AA65" s="77"/>
      <c r="AB65" s="77"/>
      <c r="AC65" s="77"/>
      <c r="AD65" s="77"/>
      <c r="AE65" s="77"/>
      <c r="AF65" s="77"/>
      <c r="AG65" s="77"/>
      <c r="AH65" s="78"/>
      <c r="AI65" s="78"/>
      <c r="AJ65" s="78"/>
      <c r="AK65" s="78"/>
      <c r="AL65" s="78"/>
      <c r="AM65" s="78"/>
      <c r="AN65" s="76"/>
      <c r="AO65" s="76"/>
      <c r="AP65" s="76"/>
      <c r="AQ65" s="76"/>
      <c r="AR65" s="76"/>
      <c r="AS65" s="76"/>
      <c r="AT65" s="76"/>
      <c r="AU65" s="76"/>
      <c r="AV65" s="76"/>
      <c r="AW65" s="79"/>
      <c r="AX65" s="79"/>
      <c r="AY65" s="79"/>
      <c r="AZ65" s="79"/>
      <c r="BA65" s="79"/>
      <c r="BB65" s="11"/>
      <c r="BC65" s="11"/>
      <c r="BD65" s="11"/>
      <c r="BE65" s="73"/>
      <c r="BF65" s="73"/>
      <c r="BG65" s="73"/>
      <c r="BH65" s="77"/>
      <c r="BI65" s="77"/>
      <c r="BJ65" s="77"/>
      <c r="BK65" s="77"/>
      <c r="BL65" s="77"/>
      <c r="BM65" s="77"/>
      <c r="BN65" s="158"/>
      <c r="BO65" s="158"/>
    </row>
    <row r="66" spans="1:67" ht="15" x14ac:dyDescent="0.25">
      <c r="A66" s="71"/>
      <c r="B66" s="11"/>
      <c r="C66" s="11"/>
      <c r="D66" s="11"/>
      <c r="E66" s="11"/>
      <c r="F66" s="11"/>
      <c r="G66" s="11"/>
      <c r="H66" s="11"/>
      <c r="I66" s="11"/>
      <c r="J66" s="249"/>
      <c r="K66" s="72"/>
      <c r="L66" s="73"/>
      <c r="M66" s="73"/>
      <c r="N66" s="74"/>
      <c r="O66" s="75"/>
      <c r="P66" s="73"/>
      <c r="Q66" s="76"/>
      <c r="R66" s="76"/>
      <c r="S66" s="76"/>
      <c r="T66" s="76"/>
      <c r="U66" s="76"/>
      <c r="V66" s="76"/>
      <c r="W66" s="76"/>
      <c r="X66" s="76"/>
      <c r="Y66" s="76"/>
      <c r="Z66" s="77"/>
      <c r="AA66" s="77"/>
      <c r="AB66" s="77"/>
      <c r="AC66" s="77"/>
      <c r="AD66" s="77"/>
      <c r="AE66" s="77"/>
      <c r="AF66" s="77"/>
      <c r="AG66" s="77"/>
      <c r="AH66" s="78"/>
      <c r="AI66" s="78"/>
      <c r="AJ66" s="78"/>
      <c r="AK66" s="78"/>
      <c r="AL66" s="78"/>
      <c r="AM66" s="78"/>
      <c r="AN66" s="76"/>
      <c r="AO66" s="76"/>
      <c r="AP66" s="76"/>
      <c r="AQ66" s="76"/>
      <c r="AR66" s="76"/>
      <c r="AS66" s="76"/>
      <c r="AT66" s="76"/>
      <c r="AU66" s="76"/>
      <c r="AV66" s="76"/>
      <c r="AW66" s="79"/>
      <c r="AX66" s="79"/>
      <c r="AY66" s="79"/>
      <c r="AZ66" s="79"/>
      <c r="BA66" s="79"/>
      <c r="BB66" s="11"/>
      <c r="BC66" s="11"/>
      <c r="BD66" s="11"/>
      <c r="BE66" s="73"/>
      <c r="BF66" s="73"/>
      <c r="BG66" s="73"/>
      <c r="BH66" s="77"/>
      <c r="BI66" s="77"/>
      <c r="BJ66" s="77"/>
      <c r="BK66" s="77"/>
      <c r="BL66" s="77"/>
      <c r="BM66" s="77"/>
      <c r="BN66" s="158"/>
      <c r="BO66" s="158"/>
    </row>
    <row r="67" spans="1:67" ht="15" x14ac:dyDescent="0.25">
      <c r="A67" s="71"/>
      <c r="B67" s="11"/>
      <c r="C67" s="11"/>
      <c r="D67" s="11"/>
      <c r="E67" s="11"/>
      <c r="F67" s="11"/>
      <c r="G67" s="11"/>
      <c r="H67" s="11"/>
      <c r="I67" s="11"/>
      <c r="J67" s="249"/>
      <c r="K67" s="72"/>
      <c r="L67" s="73"/>
      <c r="M67" s="73"/>
      <c r="N67" s="74"/>
      <c r="O67" s="75"/>
      <c r="P67" s="73"/>
      <c r="Q67" s="76"/>
      <c r="R67" s="76"/>
      <c r="S67" s="76"/>
      <c r="T67" s="76"/>
      <c r="U67" s="76"/>
      <c r="V67" s="76"/>
      <c r="W67" s="76"/>
      <c r="X67" s="76"/>
      <c r="Y67" s="76"/>
      <c r="Z67" s="77"/>
      <c r="AA67" s="77"/>
      <c r="AB67" s="77"/>
      <c r="AC67" s="77"/>
      <c r="AD67" s="77"/>
      <c r="AE67" s="77"/>
      <c r="AF67" s="77"/>
      <c r="AG67" s="77"/>
      <c r="AH67" s="78"/>
      <c r="AI67" s="78"/>
      <c r="AJ67" s="78"/>
      <c r="AK67" s="78"/>
      <c r="AL67" s="78"/>
      <c r="AM67" s="78"/>
      <c r="AN67" s="76"/>
      <c r="AO67" s="76"/>
      <c r="AP67" s="76"/>
      <c r="AQ67" s="76"/>
      <c r="AR67" s="76"/>
      <c r="AS67" s="76"/>
      <c r="AT67" s="76"/>
      <c r="AU67" s="76"/>
      <c r="AV67" s="76"/>
      <c r="AW67" s="79"/>
      <c r="AX67" s="79"/>
      <c r="AY67" s="79"/>
      <c r="AZ67" s="79"/>
      <c r="BA67" s="79"/>
      <c r="BB67" s="11"/>
      <c r="BC67" s="11"/>
      <c r="BD67" s="11"/>
      <c r="BE67" s="73"/>
      <c r="BF67" s="73"/>
      <c r="BG67" s="73"/>
      <c r="BH67" s="77"/>
      <c r="BI67" s="77"/>
      <c r="BJ67" s="77"/>
      <c r="BK67" s="77"/>
      <c r="BL67" s="77"/>
      <c r="BM67" s="77"/>
      <c r="BN67" s="158"/>
      <c r="BO67" s="158"/>
    </row>
    <row r="68" spans="1:67" ht="15" x14ac:dyDescent="0.25">
      <c r="A68" s="71"/>
      <c r="B68" s="11"/>
      <c r="C68" s="11"/>
      <c r="D68" s="11"/>
      <c r="E68" s="11"/>
      <c r="F68" s="11"/>
      <c r="G68" s="11"/>
      <c r="H68" s="11"/>
      <c r="I68" s="11"/>
      <c r="J68" s="249"/>
      <c r="K68" s="72"/>
      <c r="L68" s="73"/>
      <c r="M68" s="73"/>
      <c r="N68" s="74"/>
      <c r="O68" s="75"/>
      <c r="P68" s="73"/>
      <c r="Q68" s="76"/>
      <c r="R68" s="76"/>
      <c r="S68" s="76"/>
      <c r="T68" s="76"/>
      <c r="U68" s="76"/>
      <c r="V68" s="76"/>
      <c r="W68" s="76"/>
      <c r="X68" s="76"/>
      <c r="Y68" s="76"/>
      <c r="Z68" s="77"/>
      <c r="AA68" s="77"/>
      <c r="AB68" s="77"/>
      <c r="AC68" s="77"/>
      <c r="AD68" s="77"/>
      <c r="AE68" s="77"/>
      <c r="AF68" s="77"/>
      <c r="AG68" s="77"/>
      <c r="AH68" s="78"/>
      <c r="AI68" s="78"/>
      <c r="AJ68" s="78"/>
      <c r="AK68" s="78"/>
      <c r="AL68" s="78"/>
      <c r="AM68" s="78"/>
      <c r="AN68" s="76"/>
      <c r="AO68" s="76"/>
      <c r="AP68" s="76"/>
      <c r="AQ68" s="76"/>
      <c r="AR68" s="76"/>
      <c r="AS68" s="76"/>
      <c r="AT68" s="76"/>
      <c r="AU68" s="76"/>
      <c r="AV68" s="76"/>
      <c r="AW68" s="79"/>
      <c r="AX68" s="79"/>
      <c r="AY68" s="79"/>
      <c r="AZ68" s="79"/>
      <c r="BA68" s="79"/>
      <c r="BB68" s="11"/>
      <c r="BC68" s="11"/>
      <c r="BD68" s="11"/>
      <c r="BE68" s="73"/>
      <c r="BF68" s="73"/>
      <c r="BG68" s="73"/>
      <c r="BH68" s="77"/>
      <c r="BI68" s="77"/>
      <c r="BJ68" s="77"/>
      <c r="BK68" s="77"/>
      <c r="BL68" s="77"/>
      <c r="BM68" s="77"/>
      <c r="BN68" s="158"/>
      <c r="BO68" s="158"/>
    </row>
    <row r="69" spans="1:67" ht="15" x14ac:dyDescent="0.25">
      <c r="A69" s="71"/>
      <c r="B69" s="11"/>
      <c r="C69" s="11"/>
      <c r="D69" s="11"/>
      <c r="E69" s="11"/>
      <c r="F69" s="11"/>
      <c r="G69" s="11"/>
      <c r="H69" s="11"/>
      <c r="I69" s="11"/>
      <c r="J69" s="249"/>
      <c r="K69" s="72"/>
      <c r="L69" s="73"/>
      <c r="M69" s="73"/>
      <c r="N69" s="74"/>
      <c r="O69" s="75"/>
      <c r="P69" s="73"/>
      <c r="Q69" s="76"/>
      <c r="R69" s="76"/>
      <c r="S69" s="76"/>
      <c r="T69" s="76"/>
      <c r="U69" s="76"/>
      <c r="V69" s="76"/>
      <c r="W69" s="76"/>
      <c r="X69" s="76"/>
      <c r="Y69" s="76"/>
      <c r="Z69" s="77"/>
      <c r="AA69" s="77"/>
      <c r="AB69" s="77"/>
      <c r="AC69" s="77"/>
      <c r="AD69" s="77"/>
      <c r="AE69" s="77"/>
      <c r="AF69" s="77"/>
      <c r="AG69" s="77"/>
      <c r="AH69" s="78"/>
      <c r="AI69" s="78"/>
      <c r="AJ69" s="78"/>
      <c r="AK69" s="78"/>
      <c r="AL69" s="78"/>
      <c r="AM69" s="78"/>
      <c r="AN69" s="76"/>
      <c r="AO69" s="76"/>
      <c r="AP69" s="76"/>
      <c r="AQ69" s="76"/>
      <c r="AR69" s="76"/>
      <c r="AS69" s="76"/>
      <c r="AT69" s="76"/>
      <c r="AU69" s="76"/>
      <c r="AV69" s="76"/>
      <c r="AW69" s="79"/>
      <c r="AX69" s="79"/>
      <c r="AY69" s="79"/>
      <c r="AZ69" s="79"/>
      <c r="BA69" s="79"/>
      <c r="BB69" s="11"/>
      <c r="BC69" s="11"/>
      <c r="BD69" s="11"/>
      <c r="BE69" s="73"/>
      <c r="BF69" s="73"/>
      <c r="BG69" s="73"/>
      <c r="BH69" s="77"/>
      <c r="BI69" s="77"/>
      <c r="BJ69" s="77"/>
      <c r="BK69" s="77"/>
      <c r="BL69" s="77"/>
      <c r="BM69" s="77"/>
      <c r="BN69" s="158"/>
      <c r="BO69" s="158"/>
    </row>
    <row r="70" spans="1:67" ht="15" x14ac:dyDescent="0.25">
      <c r="A70" s="71"/>
      <c r="B70" s="11"/>
      <c r="C70" s="11"/>
      <c r="D70" s="11"/>
      <c r="E70" s="11"/>
      <c r="F70" s="11"/>
      <c r="G70" s="11"/>
      <c r="H70" s="11"/>
      <c r="I70" s="11"/>
      <c r="J70" s="249"/>
      <c r="K70" s="72"/>
      <c r="L70" s="73"/>
      <c r="M70" s="73"/>
      <c r="N70" s="74"/>
      <c r="O70" s="75"/>
      <c r="P70" s="73"/>
      <c r="Q70" s="76"/>
      <c r="R70" s="76"/>
      <c r="S70" s="76"/>
      <c r="T70" s="76"/>
      <c r="U70" s="76"/>
      <c r="V70" s="76"/>
      <c r="W70" s="76"/>
      <c r="X70" s="76"/>
      <c r="Y70" s="76"/>
      <c r="Z70" s="77"/>
      <c r="AA70" s="77"/>
      <c r="AB70" s="77"/>
      <c r="AC70" s="77"/>
      <c r="AD70" s="77"/>
      <c r="AE70" s="77"/>
      <c r="AF70" s="77"/>
      <c r="AG70" s="77"/>
      <c r="AH70" s="78"/>
      <c r="AI70" s="78"/>
      <c r="AJ70" s="78"/>
      <c r="AK70" s="78"/>
      <c r="AL70" s="78"/>
      <c r="AM70" s="78"/>
      <c r="AN70" s="76"/>
      <c r="AO70" s="76"/>
      <c r="AP70" s="76"/>
      <c r="AQ70" s="76"/>
      <c r="AR70" s="76"/>
      <c r="AS70" s="76"/>
      <c r="AT70" s="76"/>
      <c r="AU70" s="76"/>
      <c r="AV70" s="76"/>
      <c r="AW70" s="79"/>
      <c r="AX70" s="79"/>
      <c r="AY70" s="79"/>
      <c r="AZ70" s="79"/>
      <c r="BA70" s="79"/>
      <c r="BB70" s="11"/>
      <c r="BC70" s="11"/>
      <c r="BD70" s="11"/>
      <c r="BE70" s="73"/>
      <c r="BF70" s="73"/>
      <c r="BG70" s="73"/>
      <c r="BH70" s="77"/>
      <c r="BI70" s="77"/>
      <c r="BJ70" s="77"/>
      <c r="BK70" s="77"/>
      <c r="BL70" s="77"/>
      <c r="BM70" s="77"/>
      <c r="BN70" s="158"/>
      <c r="BO70" s="158"/>
    </row>
    <row r="71" spans="1:67" ht="15" x14ac:dyDescent="0.25">
      <c r="A71" s="71"/>
      <c r="B71" s="11"/>
      <c r="C71" s="11"/>
      <c r="D71" s="11"/>
      <c r="E71" s="11"/>
      <c r="F71" s="11"/>
      <c r="G71" s="11"/>
      <c r="H71" s="11"/>
      <c r="I71" s="11"/>
      <c r="J71" s="249"/>
      <c r="K71" s="72"/>
      <c r="L71" s="73"/>
      <c r="M71" s="73"/>
      <c r="N71" s="74"/>
      <c r="O71" s="75"/>
      <c r="P71" s="73"/>
      <c r="Q71" s="76"/>
      <c r="R71" s="76"/>
      <c r="S71" s="76"/>
      <c r="T71" s="76"/>
      <c r="U71" s="76"/>
      <c r="V71" s="76"/>
      <c r="W71" s="76"/>
      <c r="X71" s="76"/>
      <c r="Y71" s="76"/>
      <c r="Z71" s="77"/>
      <c r="AA71" s="77"/>
      <c r="AB71" s="77"/>
      <c r="AC71" s="77"/>
      <c r="AD71" s="77"/>
      <c r="AE71" s="77"/>
      <c r="AF71" s="77"/>
      <c r="AG71" s="77"/>
      <c r="AH71" s="78"/>
      <c r="AI71" s="78"/>
      <c r="AJ71" s="78"/>
      <c r="AK71" s="78"/>
      <c r="AL71" s="78"/>
      <c r="AM71" s="78"/>
      <c r="AN71" s="76"/>
      <c r="AO71" s="76"/>
      <c r="AP71" s="76"/>
      <c r="AQ71" s="76"/>
      <c r="AR71" s="76"/>
      <c r="AS71" s="76"/>
      <c r="AT71" s="76"/>
      <c r="AU71" s="76"/>
      <c r="AV71" s="76"/>
      <c r="AW71" s="79"/>
      <c r="AX71" s="79"/>
      <c r="AY71" s="79"/>
      <c r="AZ71" s="79"/>
      <c r="BA71" s="79"/>
      <c r="BB71" s="11"/>
      <c r="BC71" s="11"/>
      <c r="BD71" s="11"/>
      <c r="BE71" s="73"/>
      <c r="BF71" s="73"/>
      <c r="BG71" s="73"/>
      <c r="BH71" s="77"/>
      <c r="BI71" s="77"/>
      <c r="BJ71" s="77"/>
      <c r="BK71" s="77"/>
      <c r="BL71" s="77"/>
      <c r="BM71" s="77"/>
      <c r="BN71" s="158"/>
      <c r="BO71" s="158"/>
    </row>
    <row r="72" spans="1:67" ht="15" x14ac:dyDescent="0.25">
      <c r="A72" s="71"/>
      <c r="B72" s="11"/>
      <c r="C72" s="11"/>
      <c r="D72" s="11"/>
      <c r="E72" s="11"/>
      <c r="F72" s="11"/>
      <c r="G72" s="11"/>
      <c r="H72" s="11"/>
      <c r="I72" s="11"/>
      <c r="J72" s="249"/>
      <c r="K72" s="72"/>
      <c r="L72" s="73"/>
      <c r="M72" s="73"/>
      <c r="N72" s="74"/>
      <c r="O72" s="75"/>
      <c r="P72" s="73"/>
      <c r="Q72" s="76"/>
      <c r="R72" s="76"/>
      <c r="S72" s="76"/>
      <c r="T72" s="76"/>
      <c r="U72" s="76"/>
      <c r="V72" s="76"/>
      <c r="W72" s="76"/>
      <c r="X72" s="76"/>
      <c r="Y72" s="76"/>
      <c r="Z72" s="77"/>
      <c r="AA72" s="77"/>
      <c r="AB72" s="77"/>
      <c r="AC72" s="77"/>
      <c r="AD72" s="77"/>
      <c r="AE72" s="77"/>
      <c r="AF72" s="77"/>
      <c r="AG72" s="77"/>
      <c r="AH72" s="78"/>
      <c r="AI72" s="78"/>
      <c r="AJ72" s="78"/>
      <c r="AK72" s="78"/>
      <c r="AL72" s="78"/>
      <c r="AM72" s="78"/>
      <c r="AN72" s="76"/>
      <c r="AO72" s="76"/>
      <c r="AP72" s="76"/>
      <c r="AQ72" s="76"/>
      <c r="AR72" s="76"/>
      <c r="AS72" s="76"/>
      <c r="AT72" s="76"/>
      <c r="AU72" s="76"/>
      <c r="AV72" s="76"/>
      <c r="AW72" s="79"/>
      <c r="AX72" s="79"/>
      <c r="AY72" s="79"/>
      <c r="AZ72" s="79"/>
      <c r="BA72" s="79"/>
      <c r="BB72" s="11"/>
      <c r="BC72" s="11"/>
      <c r="BD72" s="11"/>
      <c r="BE72" s="73"/>
      <c r="BF72" s="73"/>
      <c r="BG72" s="73"/>
      <c r="BH72" s="77"/>
      <c r="BI72" s="77"/>
      <c r="BJ72" s="77"/>
      <c r="BK72" s="77"/>
      <c r="BL72" s="77"/>
      <c r="BM72" s="77"/>
      <c r="BN72" s="158"/>
      <c r="BO72" s="158"/>
    </row>
    <row r="73" spans="1:67" ht="15" x14ac:dyDescent="0.25">
      <c r="A73" s="71"/>
      <c r="B73" s="11"/>
      <c r="C73" s="11"/>
      <c r="D73" s="11"/>
      <c r="E73" s="11"/>
      <c r="F73" s="11"/>
      <c r="G73" s="11"/>
      <c r="H73" s="11"/>
      <c r="I73" s="11"/>
      <c r="J73" s="249"/>
      <c r="K73" s="72"/>
      <c r="L73" s="73"/>
      <c r="M73" s="73"/>
      <c r="N73" s="74"/>
      <c r="O73" s="75"/>
      <c r="P73" s="73"/>
      <c r="Q73" s="76"/>
      <c r="R73" s="76"/>
      <c r="S73" s="76"/>
      <c r="T73" s="76"/>
      <c r="U73" s="76"/>
      <c r="V73" s="76"/>
      <c r="W73" s="76"/>
      <c r="X73" s="76"/>
      <c r="Y73" s="76"/>
      <c r="Z73" s="77"/>
      <c r="AA73" s="77"/>
      <c r="AB73" s="77"/>
      <c r="AC73" s="77"/>
      <c r="AD73" s="77"/>
      <c r="AE73" s="77"/>
      <c r="AF73" s="77"/>
      <c r="AG73" s="77"/>
      <c r="AH73" s="78"/>
      <c r="AI73" s="78"/>
      <c r="AJ73" s="78"/>
      <c r="AK73" s="78"/>
      <c r="AL73" s="78"/>
      <c r="AM73" s="78"/>
      <c r="AN73" s="76"/>
      <c r="AO73" s="76"/>
      <c r="AP73" s="76"/>
      <c r="AQ73" s="76"/>
      <c r="AR73" s="76"/>
      <c r="AS73" s="76"/>
      <c r="AT73" s="76"/>
      <c r="AU73" s="76"/>
      <c r="AV73" s="76"/>
      <c r="AW73" s="79"/>
      <c r="AX73" s="79"/>
      <c r="AY73" s="79"/>
      <c r="AZ73" s="79"/>
      <c r="BA73" s="79"/>
      <c r="BB73" s="11"/>
      <c r="BC73" s="11"/>
      <c r="BD73" s="11"/>
      <c r="BE73" s="73"/>
      <c r="BF73" s="73"/>
      <c r="BG73" s="73"/>
      <c r="BH73" s="77"/>
      <c r="BI73" s="77"/>
      <c r="BJ73" s="77"/>
      <c r="BK73" s="77"/>
      <c r="BL73" s="77"/>
      <c r="BM73" s="77"/>
      <c r="BN73" s="158"/>
      <c r="BO73" s="158"/>
    </row>
    <row r="74" spans="1:67" ht="15" x14ac:dyDescent="0.25">
      <c r="A74" s="71"/>
      <c r="B74" s="11"/>
      <c r="C74" s="11"/>
      <c r="D74" s="11"/>
      <c r="E74" s="11"/>
      <c r="F74" s="11"/>
      <c r="G74" s="11"/>
      <c r="H74" s="11"/>
      <c r="I74" s="11"/>
      <c r="J74" s="249"/>
      <c r="K74" s="72"/>
      <c r="L74" s="73"/>
      <c r="M74" s="73"/>
      <c r="N74" s="74"/>
      <c r="O74" s="75"/>
      <c r="P74" s="73"/>
      <c r="Q74" s="76"/>
      <c r="R74" s="76"/>
      <c r="S74" s="76"/>
      <c r="T74" s="76"/>
      <c r="U74" s="76"/>
      <c r="V74" s="76"/>
      <c r="W74" s="76"/>
      <c r="X74" s="76"/>
      <c r="Y74" s="76"/>
      <c r="Z74" s="77"/>
      <c r="AA74" s="77"/>
      <c r="AB74" s="77"/>
      <c r="AC74" s="77"/>
      <c r="AD74" s="77"/>
      <c r="AE74" s="77"/>
      <c r="AF74" s="77"/>
      <c r="AG74" s="77"/>
      <c r="AH74" s="78"/>
      <c r="AI74" s="78"/>
      <c r="AJ74" s="78"/>
      <c r="AK74" s="78"/>
      <c r="AL74" s="78"/>
      <c r="AM74" s="78"/>
      <c r="AN74" s="76"/>
      <c r="AO74" s="76"/>
      <c r="AP74" s="76"/>
      <c r="AQ74" s="76"/>
      <c r="AR74" s="76"/>
      <c r="AS74" s="76"/>
      <c r="AT74" s="76"/>
      <c r="AU74" s="76"/>
      <c r="AV74" s="76"/>
      <c r="AW74" s="79"/>
      <c r="AX74" s="79"/>
      <c r="AY74" s="79"/>
      <c r="AZ74" s="79"/>
      <c r="BA74" s="79"/>
      <c r="BB74" s="11"/>
      <c r="BC74" s="11"/>
      <c r="BD74" s="11"/>
      <c r="BE74" s="73"/>
      <c r="BF74" s="73"/>
      <c r="BG74" s="73"/>
      <c r="BH74" s="77"/>
      <c r="BI74" s="77"/>
      <c r="BJ74" s="77"/>
      <c r="BK74" s="77"/>
      <c r="BL74" s="77"/>
      <c r="BM74" s="77"/>
      <c r="BN74" s="158"/>
      <c r="BO74" s="158"/>
    </row>
    <row r="75" spans="1:67" ht="15" x14ac:dyDescent="0.25">
      <c r="A75" s="71"/>
      <c r="B75" s="11"/>
      <c r="C75" s="11"/>
      <c r="D75" s="11"/>
      <c r="E75" s="11"/>
      <c r="F75" s="11"/>
      <c r="G75" s="11"/>
      <c r="H75" s="11"/>
      <c r="I75" s="11"/>
      <c r="J75" s="249"/>
      <c r="K75" s="72"/>
      <c r="L75" s="73"/>
      <c r="M75" s="73"/>
      <c r="N75" s="74"/>
      <c r="O75" s="75"/>
      <c r="P75" s="73"/>
      <c r="Q75" s="76"/>
      <c r="R75" s="76"/>
      <c r="S75" s="76"/>
      <c r="T75" s="76"/>
      <c r="U75" s="76"/>
      <c r="V75" s="76"/>
      <c r="W75" s="76"/>
      <c r="X75" s="76"/>
      <c r="Y75" s="76"/>
      <c r="Z75" s="77"/>
      <c r="AA75" s="77"/>
      <c r="AB75" s="77"/>
      <c r="AC75" s="77"/>
      <c r="AD75" s="77"/>
      <c r="AE75" s="77"/>
      <c r="AF75" s="77"/>
      <c r="AG75" s="77"/>
      <c r="AH75" s="78"/>
      <c r="AI75" s="78"/>
      <c r="AJ75" s="78"/>
      <c r="AK75" s="78"/>
      <c r="AL75" s="78"/>
      <c r="AM75" s="78"/>
      <c r="AN75" s="76"/>
      <c r="AO75" s="76"/>
      <c r="AP75" s="76"/>
      <c r="AQ75" s="76"/>
      <c r="AR75" s="76"/>
      <c r="AS75" s="76"/>
      <c r="AT75" s="76"/>
      <c r="AU75" s="76"/>
      <c r="AV75" s="76"/>
      <c r="AW75" s="79"/>
      <c r="AX75" s="79"/>
      <c r="AY75" s="79"/>
      <c r="AZ75" s="79"/>
      <c r="BA75" s="79"/>
      <c r="BB75" s="11"/>
      <c r="BC75" s="11"/>
      <c r="BD75" s="11"/>
      <c r="BE75" s="73"/>
      <c r="BF75" s="73"/>
      <c r="BG75" s="73"/>
      <c r="BH75" s="77"/>
      <c r="BI75" s="77"/>
      <c r="BJ75" s="77"/>
      <c r="BK75" s="77"/>
      <c r="BL75" s="77"/>
      <c r="BM75" s="77"/>
      <c r="BN75" s="158"/>
      <c r="BO75" s="158"/>
    </row>
    <row r="76" spans="1:67" ht="15" x14ac:dyDescent="0.25">
      <c r="A76" s="71"/>
      <c r="B76" s="11"/>
      <c r="C76" s="11"/>
      <c r="D76" s="11"/>
      <c r="E76" s="11"/>
      <c r="F76" s="11"/>
      <c r="G76" s="11"/>
      <c r="H76" s="11"/>
      <c r="I76" s="11"/>
      <c r="J76" s="249"/>
      <c r="K76" s="72"/>
      <c r="L76" s="73"/>
      <c r="M76" s="73"/>
      <c r="N76" s="74"/>
      <c r="O76" s="75"/>
      <c r="P76" s="73"/>
      <c r="Q76" s="76"/>
      <c r="R76" s="76"/>
      <c r="S76" s="76"/>
      <c r="T76" s="76"/>
      <c r="U76" s="76"/>
      <c r="V76" s="76"/>
      <c r="W76" s="76"/>
      <c r="X76" s="76"/>
      <c r="Y76" s="76"/>
      <c r="Z76" s="77"/>
      <c r="AA76" s="77"/>
      <c r="AB76" s="77"/>
      <c r="AC76" s="77"/>
      <c r="AD76" s="77"/>
      <c r="AE76" s="77"/>
      <c r="AF76" s="77"/>
      <c r="AG76" s="77"/>
      <c r="AH76" s="78"/>
      <c r="AI76" s="78"/>
      <c r="AJ76" s="78"/>
      <c r="AK76" s="78"/>
      <c r="AL76" s="78"/>
      <c r="AM76" s="78"/>
      <c r="AN76" s="76"/>
      <c r="AO76" s="76"/>
      <c r="AP76" s="76"/>
      <c r="AQ76" s="76"/>
      <c r="AR76" s="76"/>
      <c r="AS76" s="76"/>
      <c r="AT76" s="76"/>
      <c r="AU76" s="76"/>
      <c r="AV76" s="76"/>
      <c r="AW76" s="79"/>
      <c r="AX76" s="79"/>
      <c r="AY76" s="79"/>
      <c r="AZ76" s="79"/>
      <c r="BA76" s="79"/>
      <c r="BB76" s="11"/>
      <c r="BC76" s="11"/>
      <c r="BD76" s="11"/>
      <c r="BE76" s="73"/>
      <c r="BF76" s="73"/>
      <c r="BG76" s="73"/>
      <c r="BH76" s="77"/>
      <c r="BI76" s="77"/>
      <c r="BJ76" s="77"/>
      <c r="BK76" s="77"/>
      <c r="BL76" s="77"/>
      <c r="BM76" s="77"/>
      <c r="BN76" s="158"/>
      <c r="BO76" s="158"/>
    </row>
    <row r="77" spans="1:67" ht="15" x14ac:dyDescent="0.25">
      <c r="A77" s="71"/>
      <c r="B77" s="11"/>
      <c r="C77" s="11"/>
      <c r="D77" s="11"/>
      <c r="E77" s="11"/>
      <c r="F77" s="11"/>
      <c r="G77" s="11"/>
      <c r="H77" s="11"/>
      <c r="I77" s="11"/>
      <c r="J77" s="249"/>
      <c r="K77" s="72"/>
      <c r="L77" s="73"/>
      <c r="M77" s="73"/>
      <c r="N77" s="74"/>
      <c r="O77" s="75"/>
      <c r="P77" s="73"/>
      <c r="Q77" s="76"/>
      <c r="R77" s="76"/>
      <c r="S77" s="76"/>
      <c r="T77" s="76"/>
      <c r="U77" s="76"/>
      <c r="V77" s="76"/>
      <c r="W77" s="76"/>
      <c r="X77" s="76"/>
      <c r="Y77" s="76"/>
      <c r="Z77" s="77"/>
      <c r="AA77" s="77"/>
      <c r="AB77" s="77"/>
      <c r="AC77" s="77"/>
      <c r="AD77" s="77"/>
      <c r="AE77" s="77"/>
      <c r="AF77" s="77"/>
      <c r="AG77" s="77"/>
      <c r="AH77" s="78"/>
      <c r="AI77" s="78"/>
      <c r="AJ77" s="78"/>
      <c r="AK77" s="78"/>
      <c r="AL77" s="78"/>
      <c r="AM77" s="78"/>
      <c r="AN77" s="76"/>
      <c r="AO77" s="76"/>
      <c r="AP77" s="76"/>
      <c r="AQ77" s="76"/>
      <c r="AR77" s="76"/>
      <c r="AS77" s="76"/>
      <c r="AT77" s="76"/>
      <c r="AU77" s="76"/>
      <c r="AV77" s="76"/>
      <c r="AW77" s="79"/>
      <c r="AX77" s="79"/>
      <c r="AY77" s="79"/>
      <c r="AZ77" s="79"/>
      <c r="BA77" s="79"/>
      <c r="BB77" s="11"/>
      <c r="BC77" s="11"/>
      <c r="BD77" s="11"/>
      <c r="BE77" s="73"/>
      <c r="BF77" s="73"/>
      <c r="BG77" s="73"/>
      <c r="BH77" s="77"/>
      <c r="BI77" s="77"/>
      <c r="BJ77" s="77"/>
      <c r="BK77" s="77"/>
      <c r="BL77" s="77"/>
      <c r="BM77" s="77"/>
      <c r="BN77" s="158"/>
      <c r="BO77" s="158"/>
    </row>
    <row r="78" spans="1:67" ht="15" x14ac:dyDescent="0.25">
      <c r="A78" s="71"/>
      <c r="B78" s="11"/>
      <c r="C78" s="11"/>
      <c r="D78" s="11"/>
      <c r="E78" s="11"/>
      <c r="F78" s="11"/>
      <c r="G78" s="11"/>
      <c r="H78" s="11"/>
      <c r="I78" s="11"/>
      <c r="J78" s="249"/>
      <c r="K78" s="72"/>
      <c r="L78" s="73"/>
      <c r="M78" s="73"/>
      <c r="N78" s="74"/>
      <c r="O78" s="75"/>
      <c r="P78" s="73"/>
      <c r="Q78" s="76"/>
      <c r="R78" s="76"/>
      <c r="S78" s="76"/>
      <c r="T78" s="76"/>
      <c r="U78" s="76"/>
      <c r="V78" s="76"/>
      <c r="W78" s="76"/>
      <c r="X78" s="76"/>
      <c r="Y78" s="76"/>
      <c r="Z78" s="77"/>
      <c r="AA78" s="77"/>
      <c r="AB78" s="77"/>
      <c r="AC78" s="77"/>
      <c r="AD78" s="77"/>
      <c r="AE78" s="77"/>
      <c r="AF78" s="77"/>
      <c r="AG78" s="77"/>
      <c r="AH78" s="78"/>
      <c r="AI78" s="78"/>
      <c r="AJ78" s="78"/>
      <c r="AK78" s="78"/>
      <c r="AL78" s="78"/>
      <c r="AM78" s="78"/>
      <c r="AN78" s="76"/>
      <c r="AO78" s="76"/>
      <c r="AP78" s="76"/>
      <c r="AQ78" s="76"/>
      <c r="AR78" s="76"/>
      <c r="AS78" s="76"/>
      <c r="AT78" s="76"/>
      <c r="AU78" s="76"/>
      <c r="AV78" s="76"/>
      <c r="AW78" s="79"/>
      <c r="AX78" s="79"/>
      <c r="AY78" s="79"/>
      <c r="AZ78" s="79"/>
      <c r="BA78" s="79"/>
      <c r="BB78" s="11"/>
      <c r="BC78" s="11"/>
      <c r="BD78" s="11"/>
      <c r="BE78" s="73"/>
      <c r="BF78" s="73"/>
      <c r="BG78" s="73"/>
      <c r="BH78" s="77"/>
      <c r="BI78" s="77"/>
      <c r="BJ78" s="77"/>
      <c r="BK78" s="77"/>
      <c r="BL78" s="77"/>
      <c r="BM78" s="77"/>
      <c r="BN78" s="158"/>
      <c r="BO78" s="158"/>
    </row>
    <row r="79" spans="1:67" ht="15" x14ac:dyDescent="0.25">
      <c r="A79" s="71"/>
      <c r="B79" s="11"/>
      <c r="C79" s="11"/>
      <c r="D79" s="11"/>
      <c r="E79" s="11"/>
      <c r="F79" s="11"/>
      <c r="G79" s="11"/>
      <c r="H79" s="11"/>
      <c r="I79" s="11"/>
      <c r="J79" s="249"/>
      <c r="K79" s="72"/>
      <c r="L79" s="73"/>
      <c r="M79" s="73"/>
      <c r="N79" s="74"/>
      <c r="O79" s="75"/>
      <c r="P79" s="73"/>
      <c r="Q79" s="76"/>
      <c r="R79" s="76"/>
      <c r="S79" s="76"/>
      <c r="T79" s="76"/>
      <c r="U79" s="76"/>
      <c r="V79" s="76"/>
      <c r="W79" s="76"/>
      <c r="X79" s="76"/>
      <c r="Y79" s="76"/>
      <c r="Z79" s="77"/>
      <c r="AA79" s="77"/>
      <c r="AB79" s="77"/>
      <c r="AC79" s="77"/>
      <c r="AD79" s="77"/>
      <c r="AE79" s="77"/>
      <c r="AF79" s="77"/>
      <c r="AG79" s="77"/>
      <c r="AH79" s="78"/>
      <c r="AI79" s="78"/>
      <c r="AJ79" s="78"/>
      <c r="AK79" s="78"/>
      <c r="AL79" s="78"/>
      <c r="AM79" s="78"/>
      <c r="AN79" s="76"/>
      <c r="AO79" s="76"/>
      <c r="AP79" s="76"/>
      <c r="AQ79" s="76"/>
      <c r="AR79" s="76"/>
      <c r="AS79" s="76"/>
      <c r="AT79" s="76"/>
      <c r="AU79" s="76"/>
      <c r="AV79" s="76"/>
      <c r="AW79" s="79"/>
      <c r="AX79" s="79"/>
      <c r="AY79" s="79"/>
      <c r="AZ79" s="79"/>
      <c r="BA79" s="79"/>
      <c r="BB79" s="11"/>
      <c r="BC79" s="11"/>
      <c r="BD79" s="11"/>
      <c r="BE79" s="73"/>
      <c r="BF79" s="73"/>
      <c r="BG79" s="73"/>
      <c r="BH79" s="77"/>
      <c r="BI79" s="77"/>
      <c r="BJ79" s="77"/>
      <c r="BK79" s="77"/>
      <c r="BL79" s="77"/>
      <c r="BM79" s="77"/>
      <c r="BN79" s="158"/>
      <c r="BO79" s="158"/>
    </row>
    <row r="80" spans="1:67" ht="15" x14ac:dyDescent="0.25">
      <c r="A80" s="71"/>
      <c r="B80" s="11"/>
      <c r="C80" s="11"/>
      <c r="D80" s="11"/>
      <c r="E80" s="11"/>
      <c r="F80" s="11"/>
      <c r="G80" s="11"/>
      <c r="H80" s="11"/>
      <c r="I80" s="11"/>
      <c r="J80" s="249"/>
      <c r="K80" s="72"/>
      <c r="L80" s="73"/>
      <c r="M80" s="73"/>
      <c r="N80" s="74"/>
      <c r="O80" s="75"/>
      <c r="P80" s="73"/>
      <c r="Q80" s="76"/>
      <c r="R80" s="76"/>
      <c r="S80" s="76"/>
      <c r="T80" s="76"/>
      <c r="U80" s="76"/>
      <c r="V80" s="76"/>
      <c r="W80" s="76"/>
      <c r="X80" s="76"/>
      <c r="Y80" s="76"/>
      <c r="Z80" s="77"/>
      <c r="AA80" s="77"/>
      <c r="AB80" s="77"/>
      <c r="AC80" s="77"/>
      <c r="AD80" s="77"/>
      <c r="AE80" s="77"/>
      <c r="AF80" s="77"/>
      <c r="AG80" s="77"/>
      <c r="AH80" s="78"/>
      <c r="AI80" s="78"/>
      <c r="AJ80" s="78"/>
      <c r="AK80" s="78"/>
      <c r="AL80" s="78"/>
      <c r="AM80" s="78"/>
      <c r="AN80" s="76"/>
      <c r="AO80" s="76"/>
      <c r="AP80" s="76"/>
      <c r="AQ80" s="76"/>
      <c r="AR80" s="76"/>
      <c r="AS80" s="76"/>
      <c r="AT80" s="76"/>
      <c r="AU80" s="76"/>
      <c r="AV80" s="76"/>
      <c r="AW80" s="79"/>
      <c r="AX80" s="79"/>
      <c r="AY80" s="79"/>
      <c r="AZ80" s="79"/>
      <c r="BA80" s="79"/>
      <c r="BB80" s="11"/>
      <c r="BC80" s="11"/>
      <c r="BD80" s="11"/>
      <c r="BE80" s="73"/>
      <c r="BF80" s="73"/>
      <c r="BG80" s="73"/>
      <c r="BH80" s="77"/>
      <c r="BI80" s="77"/>
      <c r="BJ80" s="77"/>
      <c r="BK80" s="77"/>
      <c r="BL80" s="77"/>
      <c r="BM80" s="77"/>
      <c r="BN80" s="158"/>
      <c r="BO80" s="158"/>
    </row>
    <row r="81" spans="1:67" ht="15" x14ac:dyDescent="0.25">
      <c r="A81" s="71"/>
      <c r="B81" s="11"/>
      <c r="C81" s="11"/>
      <c r="D81" s="11"/>
      <c r="E81" s="11"/>
      <c r="F81" s="11"/>
      <c r="G81" s="11"/>
      <c r="H81" s="11"/>
      <c r="I81" s="11"/>
      <c r="J81" s="249"/>
      <c r="K81" s="72"/>
      <c r="L81" s="73"/>
      <c r="M81" s="73"/>
      <c r="N81" s="74"/>
      <c r="O81" s="75"/>
      <c r="P81" s="73"/>
      <c r="Q81" s="76"/>
      <c r="R81" s="76"/>
      <c r="S81" s="76"/>
      <c r="T81" s="76"/>
      <c r="U81" s="76"/>
      <c r="V81" s="76"/>
      <c r="W81" s="76"/>
      <c r="X81" s="76"/>
      <c r="Y81" s="76"/>
      <c r="Z81" s="77"/>
      <c r="AA81" s="77"/>
      <c r="AB81" s="77"/>
      <c r="AC81" s="77"/>
      <c r="AD81" s="77"/>
      <c r="AE81" s="77"/>
      <c r="AF81" s="77"/>
      <c r="AG81" s="77"/>
      <c r="AH81" s="78"/>
      <c r="AI81" s="78"/>
      <c r="AJ81" s="78"/>
      <c r="AK81" s="78"/>
      <c r="AL81" s="78"/>
      <c r="AM81" s="78"/>
      <c r="AN81" s="76"/>
      <c r="AO81" s="76"/>
      <c r="AP81" s="76"/>
      <c r="AQ81" s="76"/>
      <c r="AR81" s="76"/>
      <c r="AS81" s="76"/>
      <c r="AT81" s="76"/>
      <c r="AU81" s="76"/>
      <c r="AV81" s="76"/>
      <c r="AW81" s="79"/>
      <c r="AX81" s="79"/>
      <c r="AY81" s="79"/>
      <c r="AZ81" s="79"/>
      <c r="BA81" s="79"/>
      <c r="BB81" s="11"/>
      <c r="BC81" s="11"/>
      <c r="BD81" s="11"/>
      <c r="BE81" s="73"/>
      <c r="BF81" s="73"/>
      <c r="BG81" s="73"/>
      <c r="BH81" s="77"/>
      <c r="BI81" s="77"/>
      <c r="BJ81" s="77"/>
      <c r="BK81" s="77"/>
      <c r="BL81" s="77"/>
      <c r="BM81" s="77"/>
      <c r="BN81" s="158"/>
      <c r="BO81" s="158"/>
    </row>
    <row r="82" spans="1:67" ht="15" x14ac:dyDescent="0.25">
      <c r="A82" s="71"/>
      <c r="B82" s="11"/>
      <c r="C82" s="11"/>
      <c r="D82" s="11"/>
      <c r="E82" s="11"/>
      <c r="F82" s="11"/>
      <c r="G82" s="11"/>
      <c r="H82" s="11"/>
      <c r="I82" s="11"/>
      <c r="J82" s="249"/>
      <c r="K82" s="72"/>
      <c r="L82" s="73"/>
      <c r="M82" s="73"/>
      <c r="N82" s="74"/>
      <c r="O82" s="75"/>
      <c r="P82" s="73"/>
      <c r="Q82" s="76"/>
      <c r="R82" s="76"/>
      <c r="S82" s="76"/>
      <c r="T82" s="76"/>
      <c r="U82" s="76"/>
      <c r="V82" s="76"/>
      <c r="W82" s="76"/>
      <c r="X82" s="76"/>
      <c r="Y82" s="76"/>
      <c r="Z82" s="77"/>
      <c r="AA82" s="77"/>
      <c r="AB82" s="77"/>
      <c r="AC82" s="77"/>
      <c r="AD82" s="77"/>
      <c r="AE82" s="77"/>
      <c r="AF82" s="77"/>
      <c r="AG82" s="77"/>
      <c r="AH82" s="78"/>
      <c r="AI82" s="78"/>
      <c r="AJ82" s="78"/>
      <c r="AK82" s="78"/>
      <c r="AL82" s="78"/>
      <c r="AM82" s="78"/>
      <c r="AN82" s="76"/>
      <c r="AO82" s="76"/>
      <c r="AP82" s="76"/>
      <c r="AQ82" s="76"/>
      <c r="AR82" s="76"/>
      <c r="AS82" s="76"/>
      <c r="AT82" s="76"/>
      <c r="AU82" s="76"/>
      <c r="AV82" s="76"/>
      <c r="AW82" s="79"/>
      <c r="AX82" s="79"/>
      <c r="AY82" s="79"/>
      <c r="AZ82" s="79"/>
      <c r="BA82" s="79"/>
      <c r="BB82" s="11"/>
      <c r="BC82" s="11"/>
      <c r="BD82" s="11"/>
      <c r="BE82" s="73"/>
      <c r="BF82" s="73"/>
      <c r="BG82" s="73"/>
      <c r="BH82" s="77"/>
      <c r="BI82" s="77"/>
      <c r="BJ82" s="77"/>
      <c r="BK82" s="77"/>
      <c r="BL82" s="77"/>
      <c r="BM82" s="77"/>
      <c r="BN82" s="158"/>
      <c r="BO82" s="158"/>
    </row>
    <row r="83" spans="1:67" ht="15" x14ac:dyDescent="0.25">
      <c r="A83" s="71"/>
      <c r="B83" s="11"/>
      <c r="C83" s="11"/>
      <c r="D83" s="11"/>
      <c r="E83" s="11"/>
      <c r="F83" s="11"/>
      <c r="G83" s="11"/>
      <c r="H83" s="11"/>
      <c r="I83" s="11"/>
      <c r="J83" s="249"/>
      <c r="K83" s="72"/>
      <c r="L83" s="73"/>
      <c r="M83" s="73"/>
      <c r="N83" s="74"/>
      <c r="O83" s="75"/>
      <c r="P83" s="73"/>
      <c r="Q83" s="76"/>
      <c r="R83" s="76"/>
      <c r="S83" s="76"/>
      <c r="T83" s="76"/>
      <c r="U83" s="76"/>
      <c r="V83" s="76"/>
      <c r="W83" s="76"/>
      <c r="X83" s="76"/>
      <c r="Y83" s="76"/>
      <c r="Z83" s="77"/>
      <c r="AA83" s="77"/>
      <c r="AB83" s="77"/>
      <c r="AC83" s="77"/>
      <c r="AD83" s="77"/>
      <c r="AE83" s="77"/>
      <c r="AF83" s="77"/>
      <c r="AG83" s="77"/>
      <c r="AH83" s="78"/>
      <c r="AI83" s="78"/>
      <c r="AJ83" s="78"/>
      <c r="AK83" s="78"/>
      <c r="AL83" s="78"/>
      <c r="AM83" s="78"/>
      <c r="AN83" s="76"/>
      <c r="AO83" s="76"/>
      <c r="AP83" s="76"/>
      <c r="AQ83" s="76"/>
      <c r="AR83" s="76"/>
      <c r="AS83" s="76"/>
      <c r="AT83" s="76"/>
      <c r="AU83" s="76"/>
      <c r="AV83" s="76"/>
      <c r="AW83" s="79"/>
      <c r="AX83" s="79"/>
      <c r="AY83" s="79"/>
      <c r="AZ83" s="79"/>
      <c r="BA83" s="79"/>
      <c r="BB83" s="11"/>
      <c r="BC83" s="11"/>
      <c r="BD83" s="11"/>
      <c r="BE83" s="73"/>
      <c r="BF83" s="73"/>
      <c r="BG83" s="73"/>
      <c r="BH83" s="77"/>
      <c r="BI83" s="77"/>
      <c r="BJ83" s="77"/>
      <c r="BK83" s="77"/>
      <c r="BL83" s="77"/>
      <c r="BM83" s="77"/>
      <c r="BN83" s="158"/>
      <c r="BO83" s="158"/>
    </row>
    <row r="84" spans="1:67" ht="15" x14ac:dyDescent="0.25">
      <c r="A84" s="71"/>
      <c r="B84" s="11"/>
      <c r="C84" s="11"/>
      <c r="D84" s="11"/>
      <c r="E84" s="11"/>
      <c r="F84" s="11"/>
      <c r="G84" s="11"/>
      <c r="H84" s="11"/>
      <c r="I84" s="11"/>
      <c r="J84" s="249"/>
      <c r="K84" s="72"/>
      <c r="L84" s="73"/>
      <c r="M84" s="73"/>
      <c r="N84" s="74"/>
      <c r="O84" s="75"/>
      <c r="P84" s="73"/>
      <c r="Q84" s="76"/>
      <c r="R84" s="76"/>
      <c r="S84" s="76"/>
      <c r="T84" s="76"/>
      <c r="U84" s="76"/>
      <c r="V84" s="76"/>
      <c r="W84" s="76"/>
      <c r="X84" s="76"/>
      <c r="Y84" s="76"/>
      <c r="Z84" s="77"/>
      <c r="AA84" s="77"/>
      <c r="AB84" s="77"/>
      <c r="AC84" s="77"/>
      <c r="AD84" s="77"/>
      <c r="AE84" s="77"/>
      <c r="AF84" s="77"/>
      <c r="AG84" s="77"/>
      <c r="AH84" s="78"/>
      <c r="AI84" s="78"/>
      <c r="AJ84" s="78"/>
      <c r="AK84" s="78"/>
      <c r="AL84" s="78"/>
      <c r="AM84" s="78"/>
      <c r="AN84" s="76"/>
      <c r="AO84" s="76"/>
      <c r="AP84" s="76"/>
      <c r="AQ84" s="76"/>
      <c r="AR84" s="76"/>
      <c r="AS84" s="76"/>
      <c r="AT84" s="76"/>
      <c r="AU84" s="76"/>
      <c r="AV84" s="76"/>
      <c r="AW84" s="79"/>
      <c r="AX84" s="79"/>
      <c r="AY84" s="79"/>
      <c r="AZ84" s="79"/>
      <c r="BA84" s="79"/>
      <c r="BB84" s="11"/>
      <c r="BC84" s="11"/>
      <c r="BD84" s="11"/>
      <c r="BE84" s="73"/>
      <c r="BF84" s="73"/>
      <c r="BG84" s="73"/>
      <c r="BH84" s="77"/>
      <c r="BI84" s="77"/>
      <c r="BJ84" s="77"/>
      <c r="BK84" s="77"/>
      <c r="BL84" s="77"/>
      <c r="BM84" s="77"/>
      <c r="BN84" s="158"/>
      <c r="BO84" s="158"/>
    </row>
    <row r="85" spans="1:67" ht="15" x14ac:dyDescent="0.25">
      <c r="A85" s="71"/>
      <c r="B85" s="11"/>
      <c r="C85" s="11"/>
      <c r="D85" s="11"/>
      <c r="E85" s="11"/>
      <c r="F85" s="11"/>
      <c r="G85" s="11"/>
      <c r="H85" s="11"/>
      <c r="I85" s="11"/>
      <c r="J85" s="249"/>
      <c r="K85" s="72"/>
      <c r="L85" s="73"/>
      <c r="M85" s="73"/>
      <c r="N85" s="74"/>
      <c r="O85" s="75"/>
      <c r="P85" s="73"/>
      <c r="Q85" s="76"/>
      <c r="R85" s="76"/>
      <c r="S85" s="76"/>
      <c r="T85" s="76"/>
      <c r="U85" s="76"/>
      <c r="V85" s="76"/>
      <c r="W85" s="76"/>
      <c r="X85" s="76"/>
      <c r="Y85" s="76"/>
      <c r="Z85" s="77"/>
      <c r="AA85" s="77"/>
      <c r="AB85" s="77"/>
      <c r="AC85" s="77"/>
      <c r="AD85" s="77"/>
      <c r="AE85" s="77"/>
      <c r="AF85" s="77"/>
      <c r="AG85" s="77"/>
      <c r="AH85" s="78"/>
      <c r="AI85" s="78"/>
      <c r="AJ85" s="78"/>
      <c r="AK85" s="78"/>
      <c r="AL85" s="78"/>
      <c r="AM85" s="78"/>
      <c r="AN85" s="76"/>
      <c r="AO85" s="76"/>
      <c r="AP85" s="76"/>
      <c r="AQ85" s="76"/>
      <c r="AR85" s="76"/>
      <c r="AS85" s="76"/>
      <c r="AT85" s="76"/>
      <c r="AU85" s="76"/>
      <c r="AV85" s="76"/>
      <c r="AW85" s="79"/>
      <c r="AX85" s="79"/>
      <c r="AY85" s="79"/>
      <c r="AZ85" s="79"/>
      <c r="BA85" s="79"/>
      <c r="BB85" s="11"/>
      <c r="BC85" s="11"/>
      <c r="BD85" s="11"/>
      <c r="BE85" s="73"/>
      <c r="BF85" s="73"/>
      <c r="BG85" s="73"/>
      <c r="BH85" s="77"/>
      <c r="BI85" s="77"/>
      <c r="BJ85" s="77"/>
      <c r="BK85" s="77"/>
      <c r="BL85" s="77"/>
      <c r="BM85" s="77"/>
      <c r="BN85" s="158"/>
      <c r="BO85" s="158"/>
    </row>
    <row r="86" spans="1:67" ht="15" x14ac:dyDescent="0.25">
      <c r="A86" s="71"/>
      <c r="B86" s="11"/>
      <c r="C86" s="11"/>
      <c r="D86" s="11"/>
      <c r="E86" s="11"/>
      <c r="F86" s="11"/>
      <c r="G86" s="11"/>
      <c r="H86" s="11"/>
      <c r="I86" s="11"/>
      <c r="J86" s="249"/>
      <c r="K86" s="72"/>
      <c r="L86" s="73"/>
      <c r="M86" s="73"/>
      <c r="N86" s="74"/>
      <c r="O86" s="75"/>
      <c r="P86" s="73"/>
      <c r="Q86" s="76"/>
      <c r="R86" s="76"/>
      <c r="S86" s="76"/>
      <c r="T86" s="76"/>
      <c r="U86" s="76"/>
      <c r="V86" s="76"/>
      <c r="W86" s="76"/>
      <c r="X86" s="76"/>
      <c r="Y86" s="76"/>
      <c r="Z86" s="77"/>
      <c r="AA86" s="77"/>
      <c r="AB86" s="77"/>
      <c r="AC86" s="77"/>
      <c r="AD86" s="77"/>
      <c r="AE86" s="77"/>
      <c r="AF86" s="77"/>
      <c r="AG86" s="77"/>
      <c r="AH86" s="78"/>
      <c r="AI86" s="78"/>
      <c r="AJ86" s="78"/>
      <c r="AK86" s="78"/>
      <c r="AL86" s="78"/>
      <c r="AM86" s="78"/>
      <c r="AN86" s="76"/>
      <c r="AO86" s="76"/>
      <c r="AP86" s="76"/>
      <c r="AQ86" s="76"/>
      <c r="AR86" s="76"/>
      <c r="AS86" s="76"/>
      <c r="AT86" s="76"/>
      <c r="AU86" s="76"/>
      <c r="AV86" s="76"/>
      <c r="AW86" s="79"/>
      <c r="AX86" s="79"/>
      <c r="AY86" s="79"/>
      <c r="AZ86" s="79"/>
      <c r="BA86" s="79"/>
      <c r="BB86" s="11"/>
      <c r="BC86" s="11"/>
      <c r="BD86" s="11"/>
      <c r="BE86" s="73"/>
      <c r="BF86" s="73"/>
      <c r="BG86" s="73"/>
      <c r="BH86" s="77"/>
      <c r="BI86" s="77"/>
      <c r="BJ86" s="77"/>
      <c r="BK86" s="77"/>
      <c r="BL86" s="77"/>
      <c r="BM86" s="77"/>
      <c r="BN86" s="158"/>
      <c r="BO86" s="158"/>
    </row>
    <row r="87" spans="1:67" ht="15" x14ac:dyDescent="0.25">
      <c r="A87" s="71"/>
      <c r="B87" s="11"/>
      <c r="C87" s="11"/>
      <c r="D87" s="11"/>
      <c r="E87" s="11"/>
      <c r="F87" s="11"/>
      <c r="G87" s="11"/>
      <c r="H87" s="11"/>
      <c r="I87" s="11"/>
      <c r="J87" s="249"/>
      <c r="K87" s="72"/>
      <c r="L87" s="73"/>
      <c r="M87" s="73"/>
      <c r="N87" s="74"/>
      <c r="O87" s="75"/>
      <c r="P87" s="73"/>
      <c r="Q87" s="76"/>
      <c r="R87" s="76"/>
      <c r="S87" s="76"/>
      <c r="T87" s="76"/>
      <c r="U87" s="76"/>
      <c r="V87" s="76"/>
      <c r="W87" s="76"/>
      <c r="X87" s="76"/>
      <c r="Y87" s="76"/>
      <c r="Z87" s="77"/>
      <c r="AA87" s="77"/>
      <c r="AB87" s="77"/>
      <c r="AC87" s="77"/>
      <c r="AD87" s="77"/>
      <c r="AE87" s="77"/>
      <c r="AF87" s="77"/>
      <c r="AG87" s="77"/>
      <c r="AH87" s="78"/>
      <c r="AI87" s="78"/>
      <c r="AJ87" s="78"/>
      <c r="AK87" s="78"/>
      <c r="AL87" s="78"/>
      <c r="AM87" s="78"/>
      <c r="AN87" s="76"/>
      <c r="AO87" s="76"/>
      <c r="AP87" s="76"/>
      <c r="AQ87" s="76"/>
      <c r="AR87" s="76"/>
      <c r="AS87" s="76"/>
      <c r="AT87" s="76"/>
      <c r="AU87" s="76"/>
      <c r="AV87" s="76"/>
      <c r="AW87" s="79"/>
      <c r="AX87" s="79"/>
      <c r="AY87" s="79"/>
      <c r="AZ87" s="79"/>
      <c r="BA87" s="79"/>
      <c r="BB87" s="11"/>
      <c r="BC87" s="11"/>
      <c r="BD87" s="11"/>
      <c r="BE87" s="73"/>
      <c r="BF87" s="73"/>
      <c r="BG87" s="73"/>
      <c r="BH87" s="77"/>
      <c r="BI87" s="77"/>
      <c r="BJ87" s="77"/>
      <c r="BK87" s="77"/>
      <c r="BL87" s="77"/>
      <c r="BM87" s="77"/>
      <c r="BN87" s="158"/>
      <c r="BO87" s="158"/>
    </row>
    <row r="88" spans="1:67" ht="15" x14ac:dyDescent="0.25">
      <c r="A88" s="71"/>
      <c r="B88" s="11"/>
      <c r="C88" s="11"/>
      <c r="D88" s="11"/>
      <c r="E88" s="11"/>
      <c r="F88" s="11"/>
      <c r="G88" s="11"/>
      <c r="H88" s="11"/>
      <c r="I88" s="11"/>
      <c r="J88" s="249"/>
      <c r="K88" s="72"/>
      <c r="L88" s="73"/>
      <c r="M88" s="73"/>
      <c r="N88" s="74"/>
      <c r="O88" s="75"/>
      <c r="P88" s="73"/>
      <c r="Q88" s="76"/>
      <c r="R88" s="76"/>
      <c r="S88" s="76"/>
      <c r="T88" s="76"/>
      <c r="U88" s="76"/>
      <c r="V88" s="76"/>
      <c r="W88" s="76"/>
      <c r="X88" s="76"/>
      <c r="Y88" s="76"/>
      <c r="Z88" s="77"/>
      <c r="AA88" s="77"/>
      <c r="AB88" s="77"/>
      <c r="AC88" s="77"/>
      <c r="AD88" s="77"/>
      <c r="AE88" s="77"/>
      <c r="AF88" s="77"/>
      <c r="AG88" s="77"/>
      <c r="AH88" s="78"/>
      <c r="AI88" s="78"/>
      <c r="AJ88" s="78"/>
      <c r="AK88" s="78"/>
      <c r="AL88" s="78"/>
      <c r="AM88" s="78"/>
      <c r="AN88" s="76"/>
      <c r="AO88" s="76"/>
      <c r="AP88" s="76"/>
      <c r="AQ88" s="76"/>
      <c r="AR88" s="76"/>
      <c r="AS88" s="76"/>
      <c r="AT88" s="76"/>
      <c r="AU88" s="76"/>
      <c r="AV88" s="76"/>
      <c r="AW88" s="79"/>
      <c r="AX88" s="79"/>
      <c r="AY88" s="79"/>
      <c r="AZ88" s="79"/>
      <c r="BA88" s="79"/>
      <c r="BB88" s="11"/>
      <c r="BC88" s="11"/>
      <c r="BD88" s="11"/>
      <c r="BE88" s="73"/>
      <c r="BF88" s="73"/>
      <c r="BG88" s="73"/>
      <c r="BH88" s="77"/>
      <c r="BI88" s="77"/>
      <c r="BJ88" s="77"/>
      <c r="BK88" s="77"/>
      <c r="BL88" s="77"/>
      <c r="BM88" s="77"/>
      <c r="BN88" s="158"/>
      <c r="BO88" s="158"/>
    </row>
    <row r="89" spans="1:67" ht="15" x14ac:dyDescent="0.25">
      <c r="A89" s="71"/>
      <c r="B89" s="11"/>
      <c r="C89" s="11"/>
      <c r="D89" s="11"/>
      <c r="E89" s="11"/>
      <c r="F89" s="11"/>
      <c r="G89" s="11"/>
      <c r="H89" s="11"/>
      <c r="I89" s="11"/>
      <c r="J89" s="249"/>
      <c r="K89" s="72"/>
      <c r="L89" s="73"/>
      <c r="M89" s="73"/>
      <c r="N89" s="74"/>
      <c r="O89" s="75"/>
      <c r="P89" s="73"/>
      <c r="Q89" s="76"/>
      <c r="R89" s="76"/>
      <c r="S89" s="76"/>
      <c r="T89" s="76"/>
      <c r="U89" s="76"/>
      <c r="V89" s="76"/>
      <c r="W89" s="76"/>
      <c r="X89" s="76"/>
      <c r="Y89" s="76"/>
      <c r="Z89" s="77"/>
      <c r="AA89" s="77"/>
      <c r="AB89" s="77"/>
      <c r="AC89" s="77"/>
      <c r="AD89" s="77"/>
      <c r="AE89" s="77"/>
      <c r="AF89" s="77"/>
      <c r="AG89" s="77"/>
      <c r="AH89" s="78"/>
      <c r="AI89" s="78"/>
      <c r="AJ89" s="78"/>
      <c r="AK89" s="78"/>
      <c r="AL89" s="78"/>
      <c r="AM89" s="78"/>
      <c r="AN89" s="76"/>
      <c r="AO89" s="76"/>
      <c r="AP89" s="76"/>
      <c r="AQ89" s="76"/>
      <c r="AR89" s="76"/>
      <c r="AS89" s="76"/>
      <c r="AT89" s="76"/>
      <c r="AU89" s="76"/>
      <c r="AV89" s="76"/>
      <c r="AW89" s="79"/>
      <c r="AX89" s="79"/>
      <c r="AY89" s="79"/>
      <c r="AZ89" s="79"/>
      <c r="BA89" s="79"/>
      <c r="BB89" s="11"/>
      <c r="BC89" s="11"/>
      <c r="BD89" s="11"/>
      <c r="BE89" s="73"/>
      <c r="BF89" s="73"/>
      <c r="BG89" s="73"/>
      <c r="BH89" s="77"/>
      <c r="BI89" s="77"/>
      <c r="BJ89" s="77"/>
      <c r="BK89" s="77"/>
      <c r="BL89" s="77"/>
      <c r="BM89" s="77"/>
      <c r="BN89" s="158"/>
      <c r="BO89" s="158"/>
    </row>
    <row r="90" spans="1:67" ht="15" x14ac:dyDescent="0.25">
      <c r="A90" s="71"/>
      <c r="B90" s="11"/>
      <c r="C90" s="11"/>
      <c r="D90" s="11"/>
      <c r="E90" s="11"/>
      <c r="F90" s="11"/>
      <c r="G90" s="11"/>
      <c r="H90" s="11"/>
      <c r="I90" s="11"/>
      <c r="J90" s="249"/>
      <c r="K90" s="72"/>
      <c r="L90" s="73"/>
      <c r="M90" s="73"/>
      <c r="N90" s="74"/>
      <c r="O90" s="75"/>
      <c r="P90" s="73"/>
      <c r="Q90" s="76"/>
      <c r="R90" s="76"/>
      <c r="S90" s="76"/>
      <c r="T90" s="76"/>
      <c r="U90" s="76"/>
      <c r="V90" s="76"/>
      <c r="W90" s="76"/>
      <c r="X90" s="76"/>
      <c r="Y90" s="76"/>
      <c r="Z90" s="77"/>
      <c r="AA90" s="77"/>
      <c r="AB90" s="77"/>
      <c r="AC90" s="77"/>
      <c r="AD90" s="77"/>
      <c r="AE90" s="77"/>
      <c r="AF90" s="77"/>
      <c r="AG90" s="77"/>
      <c r="AH90" s="78"/>
      <c r="AI90" s="78"/>
      <c r="AJ90" s="78"/>
      <c r="AK90" s="78"/>
      <c r="AL90" s="78"/>
      <c r="AM90" s="78"/>
      <c r="AN90" s="76"/>
      <c r="AO90" s="76"/>
      <c r="AP90" s="76"/>
      <c r="AQ90" s="76"/>
      <c r="AR90" s="76"/>
      <c r="AS90" s="76"/>
      <c r="AT90" s="76"/>
      <c r="AU90" s="76"/>
      <c r="AV90" s="76"/>
      <c r="AW90" s="79"/>
      <c r="AX90" s="79"/>
      <c r="AY90" s="79"/>
      <c r="AZ90" s="79"/>
      <c r="BA90" s="79"/>
      <c r="BB90" s="11"/>
      <c r="BC90" s="11"/>
      <c r="BD90" s="11"/>
      <c r="BE90" s="73"/>
      <c r="BF90" s="73"/>
      <c r="BG90" s="73"/>
      <c r="BH90" s="77"/>
      <c r="BI90" s="77"/>
      <c r="BJ90" s="77"/>
      <c r="BK90" s="77"/>
      <c r="BL90" s="77"/>
      <c r="BM90" s="77"/>
      <c r="BN90" s="158"/>
      <c r="BO90" s="158"/>
    </row>
    <row r="91" spans="1:67" ht="15" x14ac:dyDescent="0.25">
      <c r="A91" s="71"/>
      <c r="B91" s="11"/>
      <c r="C91" s="11"/>
      <c r="D91" s="11"/>
      <c r="E91" s="11"/>
      <c r="F91" s="11"/>
      <c r="G91" s="11"/>
      <c r="H91" s="11"/>
      <c r="I91" s="11"/>
      <c r="J91" s="249"/>
      <c r="K91" s="72"/>
      <c r="L91" s="73"/>
      <c r="M91" s="73"/>
      <c r="N91" s="74"/>
      <c r="O91" s="75"/>
      <c r="P91" s="73"/>
      <c r="Q91" s="76"/>
      <c r="R91" s="76"/>
      <c r="S91" s="76"/>
      <c r="T91" s="76"/>
      <c r="U91" s="76"/>
      <c r="V91" s="76"/>
      <c r="W91" s="76"/>
      <c r="X91" s="76"/>
      <c r="Y91" s="76"/>
      <c r="Z91" s="77"/>
      <c r="AA91" s="77"/>
      <c r="AB91" s="77"/>
      <c r="AC91" s="77"/>
      <c r="AD91" s="77"/>
      <c r="AE91" s="77"/>
      <c r="AF91" s="77"/>
      <c r="AG91" s="77"/>
      <c r="AH91" s="78"/>
      <c r="AI91" s="78"/>
      <c r="AJ91" s="78"/>
      <c r="AK91" s="78"/>
      <c r="AL91" s="78"/>
      <c r="AM91" s="78"/>
      <c r="AN91" s="76"/>
      <c r="AO91" s="76"/>
      <c r="AP91" s="76"/>
      <c r="AQ91" s="76"/>
      <c r="AR91" s="76"/>
      <c r="AS91" s="76"/>
      <c r="AT91" s="76"/>
      <c r="AU91" s="76"/>
      <c r="AV91" s="76"/>
      <c r="AW91" s="79"/>
      <c r="AX91" s="79"/>
      <c r="AY91" s="79"/>
      <c r="AZ91" s="79"/>
      <c r="BA91" s="79"/>
      <c r="BB91" s="11"/>
      <c r="BC91" s="11"/>
      <c r="BD91" s="11"/>
      <c r="BE91" s="73"/>
      <c r="BF91" s="73"/>
      <c r="BG91" s="73"/>
      <c r="BH91" s="77"/>
      <c r="BI91" s="77"/>
      <c r="BJ91" s="77"/>
      <c r="BK91" s="77"/>
      <c r="BL91" s="77"/>
      <c r="BM91" s="77"/>
      <c r="BN91" s="158"/>
      <c r="BO91" s="158"/>
    </row>
    <row r="92" spans="1:67" ht="15" x14ac:dyDescent="0.25">
      <c r="A92" s="71"/>
      <c r="B92" s="11"/>
      <c r="C92" s="11"/>
      <c r="D92" s="11"/>
      <c r="E92" s="11"/>
      <c r="F92" s="11"/>
      <c r="G92" s="11"/>
      <c r="H92" s="11"/>
      <c r="I92" s="11"/>
      <c r="J92" s="249"/>
      <c r="K92" s="72"/>
      <c r="L92" s="73"/>
      <c r="M92" s="73"/>
      <c r="N92" s="74"/>
      <c r="O92" s="75"/>
      <c r="P92" s="73"/>
      <c r="Q92" s="76"/>
      <c r="R92" s="76"/>
      <c r="S92" s="76"/>
      <c r="T92" s="76"/>
      <c r="U92" s="76"/>
      <c r="V92" s="76"/>
      <c r="W92" s="76"/>
      <c r="X92" s="76"/>
      <c r="Y92" s="76"/>
      <c r="Z92" s="77"/>
      <c r="AA92" s="77"/>
      <c r="AB92" s="77"/>
      <c r="AC92" s="77"/>
      <c r="AD92" s="77"/>
      <c r="AE92" s="77"/>
      <c r="AF92" s="77"/>
      <c r="AG92" s="77"/>
      <c r="AH92" s="78"/>
      <c r="AI92" s="78"/>
      <c r="AJ92" s="78"/>
      <c r="AK92" s="78"/>
      <c r="AL92" s="78"/>
      <c r="AM92" s="78"/>
      <c r="AN92" s="76"/>
      <c r="AO92" s="76"/>
      <c r="AP92" s="76"/>
      <c r="AQ92" s="76"/>
      <c r="AR92" s="76"/>
      <c r="AS92" s="76"/>
      <c r="AT92" s="76"/>
      <c r="AU92" s="76"/>
      <c r="AV92" s="76"/>
      <c r="AW92" s="79"/>
      <c r="AX92" s="79"/>
      <c r="AY92" s="79"/>
      <c r="AZ92" s="79"/>
      <c r="BA92" s="79"/>
      <c r="BB92" s="11"/>
      <c r="BC92" s="11"/>
      <c r="BD92" s="11"/>
      <c r="BE92" s="73"/>
      <c r="BF92" s="73"/>
      <c r="BG92" s="73"/>
      <c r="BH92" s="77"/>
      <c r="BI92" s="77"/>
      <c r="BJ92" s="77"/>
      <c r="BK92" s="77"/>
      <c r="BL92" s="77"/>
      <c r="BM92" s="77"/>
      <c r="BN92" s="158"/>
      <c r="BO92" s="158"/>
    </row>
    <row r="93" spans="1:67" ht="15" x14ac:dyDescent="0.25">
      <c r="A93" s="71"/>
      <c r="B93" s="11"/>
      <c r="C93" s="11"/>
      <c r="D93" s="11"/>
      <c r="E93" s="11"/>
      <c r="F93" s="11"/>
      <c r="G93" s="11"/>
      <c r="H93" s="11"/>
      <c r="I93" s="11"/>
      <c r="J93" s="249"/>
      <c r="K93" s="72"/>
      <c r="L93" s="73"/>
      <c r="M93" s="73"/>
      <c r="N93" s="74"/>
      <c r="O93" s="75"/>
      <c r="P93" s="73"/>
      <c r="Q93" s="76"/>
      <c r="R93" s="76"/>
      <c r="S93" s="76"/>
      <c r="T93" s="76"/>
      <c r="U93" s="76"/>
      <c r="V93" s="76"/>
      <c r="W93" s="76"/>
      <c r="X93" s="76"/>
      <c r="Y93" s="76"/>
      <c r="Z93" s="77"/>
      <c r="AA93" s="77"/>
      <c r="AB93" s="77"/>
      <c r="AC93" s="77"/>
      <c r="AD93" s="77"/>
      <c r="AE93" s="77"/>
      <c r="AF93" s="77"/>
      <c r="AG93" s="77"/>
      <c r="AH93" s="78"/>
      <c r="AI93" s="78"/>
      <c r="AJ93" s="78"/>
      <c r="AK93" s="78"/>
      <c r="AL93" s="78"/>
      <c r="AM93" s="78"/>
      <c r="AN93" s="76"/>
      <c r="AO93" s="76"/>
      <c r="AP93" s="76"/>
      <c r="AQ93" s="76"/>
      <c r="AR93" s="76"/>
      <c r="AS93" s="76"/>
      <c r="AT93" s="76"/>
      <c r="AU93" s="76"/>
      <c r="AV93" s="76"/>
      <c r="AW93" s="79"/>
      <c r="AX93" s="79"/>
      <c r="AY93" s="79"/>
      <c r="AZ93" s="79"/>
      <c r="BA93" s="79"/>
      <c r="BB93" s="11"/>
      <c r="BC93" s="11"/>
      <c r="BD93" s="11"/>
      <c r="BE93" s="73"/>
      <c r="BF93" s="73"/>
      <c r="BG93" s="73"/>
      <c r="BH93" s="77"/>
      <c r="BI93" s="77"/>
      <c r="BJ93" s="77"/>
      <c r="BK93" s="77"/>
      <c r="BL93" s="77"/>
      <c r="BM93" s="77"/>
      <c r="BN93" s="158"/>
      <c r="BO93" s="158"/>
    </row>
    <row r="94" spans="1:67" ht="15" x14ac:dyDescent="0.25">
      <c r="A94" s="71"/>
      <c r="B94" s="11"/>
      <c r="C94" s="11"/>
      <c r="D94" s="11"/>
      <c r="E94" s="11"/>
      <c r="F94" s="11"/>
      <c r="G94" s="11"/>
      <c r="H94" s="11"/>
      <c r="I94" s="11"/>
      <c r="J94" s="249"/>
      <c r="K94" s="72"/>
      <c r="L94" s="73"/>
      <c r="M94" s="73"/>
      <c r="N94" s="74"/>
      <c r="O94" s="75"/>
      <c r="P94" s="73"/>
      <c r="Q94" s="76"/>
      <c r="R94" s="76"/>
      <c r="S94" s="76"/>
      <c r="T94" s="76"/>
      <c r="U94" s="76"/>
      <c r="V94" s="76"/>
      <c r="W94" s="76"/>
      <c r="X94" s="76"/>
      <c r="Y94" s="76"/>
      <c r="Z94" s="77"/>
      <c r="AA94" s="77"/>
      <c r="AB94" s="77"/>
      <c r="AC94" s="77"/>
      <c r="AD94" s="77"/>
      <c r="AE94" s="77"/>
      <c r="AF94" s="77"/>
      <c r="AG94" s="77"/>
      <c r="AH94" s="78"/>
      <c r="AI94" s="78"/>
      <c r="AJ94" s="78"/>
      <c r="AK94" s="78"/>
      <c r="AL94" s="78"/>
      <c r="AM94" s="78"/>
      <c r="AN94" s="76"/>
      <c r="AO94" s="76"/>
      <c r="AP94" s="76"/>
      <c r="AQ94" s="76"/>
      <c r="AR94" s="76"/>
      <c r="AS94" s="76"/>
      <c r="AT94" s="76"/>
      <c r="AU94" s="76"/>
      <c r="AV94" s="76"/>
      <c r="AW94" s="79"/>
      <c r="AX94" s="79"/>
      <c r="AY94" s="79"/>
      <c r="AZ94" s="79"/>
      <c r="BA94" s="79"/>
      <c r="BB94" s="11"/>
      <c r="BC94" s="11"/>
      <c r="BD94" s="11"/>
      <c r="BE94" s="73"/>
      <c r="BF94" s="73"/>
      <c r="BG94" s="73"/>
      <c r="BH94" s="77"/>
      <c r="BI94" s="77"/>
      <c r="BJ94" s="77"/>
      <c r="BK94" s="77"/>
      <c r="BL94" s="77"/>
      <c r="BM94" s="77"/>
      <c r="BN94" s="158"/>
      <c r="BO94" s="158"/>
    </row>
    <row r="95" spans="1:67" ht="15" x14ac:dyDescent="0.25">
      <c r="A95" s="71"/>
      <c r="B95" s="11"/>
      <c r="C95" s="11"/>
      <c r="D95" s="11"/>
      <c r="E95" s="11"/>
      <c r="F95" s="11"/>
      <c r="G95" s="11"/>
      <c r="H95" s="11"/>
      <c r="I95" s="11"/>
      <c r="J95" s="249"/>
      <c r="K95" s="72"/>
      <c r="L95" s="73"/>
      <c r="M95" s="73"/>
      <c r="N95" s="74"/>
      <c r="O95" s="75"/>
      <c r="P95" s="73"/>
      <c r="Q95" s="76"/>
      <c r="R95" s="76"/>
      <c r="S95" s="76"/>
      <c r="T95" s="76"/>
      <c r="U95" s="76"/>
      <c r="V95" s="76"/>
      <c r="W95" s="76"/>
      <c r="X95" s="76"/>
      <c r="Y95" s="76"/>
      <c r="Z95" s="77"/>
      <c r="AA95" s="77"/>
      <c r="AB95" s="77"/>
      <c r="AC95" s="77"/>
      <c r="AD95" s="77"/>
      <c r="AE95" s="77"/>
      <c r="AF95" s="77"/>
      <c r="AG95" s="77"/>
      <c r="AH95" s="78"/>
      <c r="AI95" s="78"/>
      <c r="AJ95" s="78"/>
      <c r="AK95" s="78"/>
      <c r="AL95" s="78"/>
      <c r="AM95" s="78"/>
      <c r="AN95" s="76"/>
      <c r="AO95" s="76"/>
      <c r="AP95" s="76"/>
      <c r="AQ95" s="76"/>
      <c r="AR95" s="76"/>
      <c r="AS95" s="76"/>
      <c r="AT95" s="76"/>
      <c r="AU95" s="76"/>
      <c r="AV95" s="76"/>
      <c r="AW95" s="79"/>
      <c r="AX95" s="79"/>
      <c r="AY95" s="79"/>
      <c r="AZ95" s="79"/>
      <c r="BA95" s="79"/>
      <c r="BB95" s="11"/>
      <c r="BC95" s="11"/>
      <c r="BD95" s="11"/>
      <c r="BE95" s="73"/>
      <c r="BF95" s="73"/>
      <c r="BG95" s="73"/>
      <c r="BH95" s="77"/>
      <c r="BI95" s="77"/>
      <c r="BJ95" s="77"/>
      <c r="BK95" s="77"/>
      <c r="BL95" s="77"/>
      <c r="BM95" s="77"/>
      <c r="BN95" s="158"/>
      <c r="BO95" s="158"/>
    </row>
    <row r="96" spans="1:67" ht="15" x14ac:dyDescent="0.25">
      <c r="A96" s="71"/>
      <c r="B96" s="11"/>
      <c r="C96" s="11"/>
      <c r="D96" s="11"/>
      <c r="E96" s="11"/>
      <c r="F96" s="11"/>
      <c r="G96" s="11"/>
      <c r="H96" s="11"/>
      <c r="I96" s="11"/>
      <c r="J96" s="249"/>
      <c r="K96" s="72"/>
      <c r="L96" s="73"/>
      <c r="M96" s="73"/>
      <c r="N96" s="74"/>
      <c r="O96" s="75"/>
      <c r="P96" s="73"/>
      <c r="Q96" s="76"/>
      <c r="R96" s="76"/>
      <c r="S96" s="76"/>
      <c r="T96" s="76"/>
      <c r="U96" s="76"/>
      <c r="V96" s="76"/>
      <c r="W96" s="76"/>
      <c r="X96" s="76"/>
      <c r="Y96" s="76"/>
      <c r="Z96" s="77"/>
      <c r="AA96" s="77"/>
      <c r="AB96" s="77"/>
      <c r="AC96" s="77"/>
      <c r="AD96" s="77"/>
      <c r="AE96" s="77"/>
      <c r="AF96" s="77"/>
      <c r="AG96" s="77"/>
      <c r="AH96" s="78"/>
      <c r="AI96" s="78"/>
      <c r="AJ96" s="78"/>
      <c r="AK96" s="78"/>
      <c r="AL96" s="78"/>
      <c r="AM96" s="78"/>
      <c r="AN96" s="76"/>
      <c r="AO96" s="76"/>
      <c r="AP96" s="76"/>
      <c r="AQ96" s="76"/>
      <c r="AR96" s="76"/>
      <c r="AS96" s="76"/>
      <c r="AT96" s="76"/>
      <c r="AU96" s="76"/>
      <c r="AV96" s="76"/>
      <c r="AW96" s="79"/>
      <c r="AX96" s="79"/>
      <c r="AY96" s="79"/>
      <c r="AZ96" s="79"/>
      <c r="BA96" s="79"/>
      <c r="BB96" s="11"/>
      <c r="BC96" s="11"/>
      <c r="BD96" s="11"/>
      <c r="BE96" s="73"/>
      <c r="BF96" s="73"/>
      <c r="BG96" s="73"/>
      <c r="BH96" s="77"/>
      <c r="BI96" s="77"/>
      <c r="BJ96" s="77"/>
      <c r="BK96" s="77"/>
      <c r="BL96" s="77"/>
      <c r="BM96" s="77"/>
      <c r="BN96" s="158"/>
      <c r="BO96" s="158"/>
    </row>
    <row r="97" spans="1:67" ht="15" x14ac:dyDescent="0.25">
      <c r="A97" s="71"/>
      <c r="B97" s="11"/>
      <c r="C97" s="11"/>
      <c r="D97" s="11"/>
      <c r="E97" s="11"/>
      <c r="F97" s="11"/>
      <c r="G97" s="11"/>
      <c r="H97" s="11"/>
      <c r="I97" s="11"/>
      <c r="J97" s="249"/>
      <c r="K97" s="72"/>
      <c r="L97" s="73"/>
      <c r="M97" s="73"/>
      <c r="N97" s="74"/>
      <c r="O97" s="75"/>
      <c r="P97" s="73"/>
      <c r="Q97" s="76"/>
      <c r="R97" s="76"/>
      <c r="S97" s="76"/>
      <c r="T97" s="76"/>
      <c r="U97" s="76"/>
      <c r="V97" s="76"/>
      <c r="W97" s="76"/>
      <c r="X97" s="76"/>
      <c r="Y97" s="76"/>
      <c r="Z97" s="77"/>
      <c r="AA97" s="77"/>
      <c r="AB97" s="77"/>
      <c r="AC97" s="77"/>
      <c r="AD97" s="77"/>
      <c r="AE97" s="77"/>
      <c r="AF97" s="77"/>
      <c r="AG97" s="77"/>
      <c r="AH97" s="78"/>
      <c r="AI97" s="78"/>
      <c r="AJ97" s="78"/>
      <c r="AK97" s="78"/>
      <c r="AL97" s="78"/>
      <c r="AM97" s="78"/>
      <c r="AN97" s="76"/>
      <c r="AO97" s="76"/>
      <c r="AP97" s="76"/>
      <c r="AQ97" s="76"/>
      <c r="AR97" s="76"/>
      <c r="AS97" s="76"/>
      <c r="AT97" s="76"/>
      <c r="AU97" s="76"/>
      <c r="AV97" s="76"/>
      <c r="AW97" s="79"/>
      <c r="AX97" s="79"/>
      <c r="AY97" s="79"/>
      <c r="AZ97" s="79"/>
      <c r="BA97" s="79"/>
      <c r="BB97" s="11"/>
      <c r="BC97" s="11"/>
      <c r="BD97" s="11"/>
      <c r="BE97" s="73"/>
      <c r="BF97" s="73"/>
      <c r="BG97" s="73"/>
      <c r="BH97" s="77"/>
      <c r="BI97" s="77"/>
      <c r="BJ97" s="77"/>
      <c r="BK97" s="77"/>
      <c r="BL97" s="77"/>
      <c r="BM97" s="77"/>
      <c r="BN97" s="158"/>
      <c r="BO97" s="158"/>
    </row>
    <row r="98" spans="1:67" ht="15" x14ac:dyDescent="0.25">
      <c r="A98" s="71"/>
      <c r="B98" s="11"/>
      <c r="C98" s="11"/>
      <c r="D98" s="11"/>
      <c r="E98" s="11"/>
      <c r="F98" s="11"/>
      <c r="G98" s="11"/>
      <c r="H98" s="11"/>
      <c r="I98" s="11"/>
      <c r="J98" s="249"/>
      <c r="K98" s="72"/>
      <c r="L98" s="73"/>
      <c r="M98" s="73"/>
      <c r="N98" s="74"/>
      <c r="O98" s="75"/>
      <c r="P98" s="73"/>
      <c r="Q98" s="76"/>
      <c r="R98" s="76"/>
      <c r="S98" s="76"/>
      <c r="T98" s="76"/>
      <c r="U98" s="76"/>
      <c r="V98" s="76"/>
      <c r="W98" s="76"/>
      <c r="X98" s="76"/>
      <c r="Y98" s="76"/>
      <c r="Z98" s="77"/>
      <c r="AA98" s="77"/>
      <c r="AB98" s="77"/>
      <c r="AC98" s="77"/>
      <c r="AD98" s="77"/>
      <c r="AE98" s="77"/>
      <c r="AF98" s="77"/>
      <c r="AG98" s="77"/>
      <c r="AH98" s="78"/>
      <c r="AI98" s="78"/>
      <c r="AJ98" s="78"/>
      <c r="AK98" s="78"/>
      <c r="AL98" s="78"/>
      <c r="AM98" s="78"/>
      <c r="AN98" s="76"/>
      <c r="AO98" s="76"/>
      <c r="AP98" s="76"/>
      <c r="AQ98" s="76"/>
      <c r="AR98" s="76"/>
      <c r="AS98" s="76"/>
      <c r="AT98" s="76"/>
      <c r="AU98" s="76"/>
      <c r="AV98" s="76"/>
      <c r="AW98" s="79"/>
      <c r="AX98" s="79"/>
      <c r="AY98" s="79"/>
      <c r="AZ98" s="79"/>
      <c r="BA98" s="79"/>
      <c r="BB98" s="11"/>
      <c r="BC98" s="11"/>
      <c r="BD98" s="11"/>
      <c r="BE98" s="73"/>
      <c r="BF98" s="73"/>
      <c r="BG98" s="73"/>
      <c r="BH98" s="77"/>
      <c r="BI98" s="77"/>
      <c r="BJ98" s="77"/>
      <c r="BK98" s="77"/>
      <c r="BL98" s="77"/>
      <c r="BM98" s="77"/>
      <c r="BN98" s="158"/>
      <c r="BO98" s="158"/>
    </row>
    <row r="99" spans="1:67" ht="15" x14ac:dyDescent="0.25">
      <c r="A99" s="71"/>
      <c r="B99" s="11"/>
      <c r="C99" s="11"/>
      <c r="D99" s="11"/>
      <c r="E99" s="11"/>
      <c r="F99" s="11"/>
      <c r="G99" s="11"/>
      <c r="H99" s="11"/>
      <c r="I99" s="11"/>
      <c r="J99" s="249"/>
      <c r="K99" s="72"/>
      <c r="L99" s="73"/>
      <c r="M99" s="73"/>
      <c r="N99" s="74"/>
      <c r="O99" s="75"/>
      <c r="P99" s="73"/>
      <c r="Q99" s="76"/>
      <c r="R99" s="76"/>
      <c r="S99" s="76"/>
      <c r="T99" s="76"/>
      <c r="U99" s="76"/>
      <c r="V99" s="76"/>
      <c r="W99" s="76"/>
      <c r="X99" s="76"/>
      <c r="Y99" s="76"/>
      <c r="Z99" s="77"/>
      <c r="AA99" s="77"/>
      <c r="AB99" s="77"/>
      <c r="AC99" s="77"/>
      <c r="AD99" s="77"/>
      <c r="AE99" s="77"/>
      <c r="AF99" s="77"/>
      <c r="AG99" s="77"/>
      <c r="AH99" s="78"/>
      <c r="AI99" s="78"/>
      <c r="AJ99" s="78"/>
      <c r="AK99" s="78"/>
      <c r="AL99" s="78"/>
      <c r="AM99" s="78"/>
      <c r="AN99" s="76"/>
      <c r="AO99" s="76"/>
      <c r="AP99" s="76"/>
      <c r="AQ99" s="76"/>
      <c r="AR99" s="76"/>
      <c r="AS99" s="76"/>
      <c r="AT99" s="76"/>
      <c r="AU99" s="76"/>
      <c r="AV99" s="76"/>
      <c r="AW99" s="79"/>
      <c r="AX99" s="79"/>
      <c r="AY99" s="79"/>
      <c r="AZ99" s="79"/>
      <c r="BA99" s="79"/>
      <c r="BB99" s="11"/>
      <c r="BC99" s="11"/>
      <c r="BD99" s="11"/>
      <c r="BE99" s="73"/>
      <c r="BF99" s="73"/>
      <c r="BG99" s="73"/>
      <c r="BH99" s="77"/>
      <c r="BI99" s="77"/>
      <c r="BJ99" s="77"/>
      <c r="BK99" s="77"/>
      <c r="BL99" s="77"/>
      <c r="BM99" s="77"/>
      <c r="BN99" s="158"/>
      <c r="BO99" s="158"/>
    </row>
    <row r="100" spans="1:67" ht="15" x14ac:dyDescent="0.25">
      <c r="A100" s="71"/>
      <c r="B100" s="11"/>
      <c r="C100" s="11"/>
      <c r="D100" s="11"/>
      <c r="E100" s="11"/>
      <c r="F100" s="11"/>
      <c r="G100" s="11"/>
      <c r="H100" s="11"/>
      <c r="I100" s="11"/>
      <c r="J100" s="249"/>
      <c r="K100" s="72"/>
      <c r="L100" s="73"/>
      <c r="M100" s="73"/>
      <c r="N100" s="74"/>
      <c r="O100" s="75"/>
      <c r="P100" s="73"/>
      <c r="Q100" s="76"/>
      <c r="R100" s="76"/>
      <c r="S100" s="76"/>
      <c r="T100" s="76"/>
      <c r="U100" s="76"/>
      <c r="V100" s="76"/>
      <c r="W100" s="76"/>
      <c r="X100" s="76"/>
      <c r="Y100" s="76"/>
      <c r="Z100" s="77"/>
      <c r="AA100" s="77"/>
      <c r="AB100" s="77"/>
      <c r="AC100" s="77"/>
      <c r="AD100" s="77"/>
      <c r="AE100" s="77"/>
      <c r="AF100" s="77"/>
      <c r="AG100" s="77"/>
      <c r="AH100" s="78"/>
      <c r="AI100" s="78"/>
      <c r="AJ100" s="78"/>
      <c r="AK100" s="78"/>
      <c r="AL100" s="78"/>
      <c r="AM100" s="78"/>
      <c r="AN100" s="76"/>
      <c r="AO100" s="76"/>
      <c r="AP100" s="76"/>
      <c r="AQ100" s="76"/>
      <c r="AR100" s="76"/>
      <c r="AS100" s="76"/>
      <c r="AT100" s="76"/>
      <c r="AU100" s="76"/>
      <c r="AV100" s="76"/>
      <c r="AW100" s="79"/>
      <c r="AX100" s="79"/>
      <c r="AY100" s="79"/>
      <c r="AZ100" s="79"/>
      <c r="BA100" s="79"/>
      <c r="BB100" s="11"/>
      <c r="BC100" s="11"/>
      <c r="BD100" s="11"/>
      <c r="BE100" s="73"/>
      <c r="BF100" s="73"/>
      <c r="BG100" s="73"/>
      <c r="BH100" s="77"/>
      <c r="BI100" s="77"/>
      <c r="BJ100" s="77"/>
      <c r="BK100" s="77"/>
      <c r="BL100" s="77"/>
      <c r="BM100" s="77"/>
      <c r="BN100" s="158"/>
      <c r="BO100" s="158"/>
    </row>
    <row r="101" spans="1:67" ht="15" x14ac:dyDescent="0.25">
      <c r="A101" s="71"/>
      <c r="B101" s="11"/>
      <c r="C101" s="11"/>
      <c r="D101" s="11"/>
      <c r="E101" s="11"/>
      <c r="F101" s="11"/>
      <c r="G101" s="11"/>
      <c r="H101" s="11"/>
      <c r="I101" s="11"/>
      <c r="J101" s="249"/>
      <c r="K101" s="72"/>
      <c r="L101" s="73"/>
      <c r="M101" s="73"/>
      <c r="N101" s="74"/>
      <c r="O101" s="75"/>
      <c r="P101" s="73"/>
      <c r="Q101" s="76"/>
      <c r="R101" s="76"/>
      <c r="S101" s="76"/>
      <c r="T101" s="76"/>
      <c r="U101" s="76"/>
      <c r="V101" s="76"/>
      <c r="W101" s="76"/>
      <c r="X101" s="76"/>
      <c r="Y101" s="76"/>
      <c r="Z101" s="77"/>
      <c r="AA101" s="77"/>
      <c r="AB101" s="77"/>
      <c r="AC101" s="77"/>
      <c r="AD101" s="77"/>
      <c r="AE101" s="77"/>
      <c r="AF101" s="77"/>
      <c r="AG101" s="77"/>
      <c r="AH101" s="78"/>
      <c r="AI101" s="78"/>
      <c r="AJ101" s="78"/>
      <c r="AK101" s="78"/>
      <c r="AL101" s="78"/>
      <c r="AM101" s="78"/>
      <c r="AN101" s="76"/>
      <c r="AO101" s="76"/>
      <c r="AP101" s="76"/>
      <c r="AQ101" s="76"/>
      <c r="AR101" s="76"/>
      <c r="AS101" s="76"/>
      <c r="AT101" s="76"/>
      <c r="AU101" s="76"/>
      <c r="AV101" s="76"/>
      <c r="AW101" s="79"/>
      <c r="AX101" s="79"/>
      <c r="AY101" s="79"/>
      <c r="AZ101" s="79"/>
      <c r="BA101" s="79"/>
      <c r="BB101" s="11"/>
      <c r="BC101" s="11"/>
      <c r="BD101" s="11"/>
      <c r="BE101" s="73"/>
      <c r="BF101" s="73"/>
      <c r="BG101" s="73"/>
      <c r="BH101" s="77"/>
      <c r="BI101" s="77"/>
      <c r="BJ101" s="77"/>
      <c r="BK101" s="77"/>
      <c r="BL101" s="77"/>
      <c r="BM101" s="77"/>
      <c r="BN101" s="158"/>
      <c r="BO101" s="158"/>
    </row>
    <row r="102" spans="1:67" ht="15" x14ac:dyDescent="0.25">
      <c r="A102" s="71"/>
      <c r="B102" s="11"/>
      <c r="C102" s="11"/>
      <c r="D102" s="11"/>
      <c r="E102" s="11"/>
      <c r="F102" s="11"/>
      <c r="G102" s="11"/>
      <c r="H102" s="11"/>
      <c r="I102" s="11"/>
      <c r="J102" s="249"/>
      <c r="K102" s="72"/>
      <c r="L102" s="73"/>
      <c r="M102" s="73"/>
      <c r="N102" s="74"/>
      <c r="O102" s="75"/>
      <c r="P102" s="73"/>
      <c r="Q102" s="76"/>
      <c r="R102" s="76"/>
      <c r="S102" s="76"/>
      <c r="T102" s="76"/>
      <c r="U102" s="76"/>
      <c r="V102" s="76"/>
      <c r="W102" s="76"/>
      <c r="X102" s="76"/>
      <c r="Y102" s="76"/>
      <c r="Z102" s="77"/>
      <c r="AA102" s="77"/>
      <c r="AB102" s="77"/>
      <c r="AC102" s="77"/>
      <c r="AD102" s="77"/>
      <c r="AE102" s="77"/>
      <c r="AF102" s="77"/>
      <c r="AG102" s="77"/>
      <c r="AH102" s="78"/>
      <c r="AI102" s="78"/>
      <c r="AJ102" s="78"/>
      <c r="AK102" s="78"/>
      <c r="AL102" s="78"/>
      <c r="AM102" s="78"/>
      <c r="AN102" s="76"/>
      <c r="AO102" s="76"/>
      <c r="AP102" s="76"/>
      <c r="AQ102" s="76"/>
      <c r="AR102" s="76"/>
      <c r="AS102" s="76"/>
      <c r="AT102" s="76"/>
      <c r="AU102" s="76"/>
      <c r="AV102" s="76"/>
      <c r="AW102" s="79"/>
      <c r="AX102" s="79"/>
      <c r="AY102" s="79"/>
      <c r="AZ102" s="79"/>
      <c r="BA102" s="79"/>
      <c r="BB102" s="11"/>
      <c r="BC102" s="11"/>
      <c r="BD102" s="11"/>
      <c r="BE102" s="73"/>
      <c r="BF102" s="73"/>
      <c r="BG102" s="73"/>
      <c r="BH102" s="77"/>
      <c r="BI102" s="77"/>
      <c r="BJ102" s="77"/>
      <c r="BK102" s="77"/>
      <c r="BL102" s="77"/>
      <c r="BM102" s="77"/>
      <c r="BN102" s="158"/>
      <c r="BO102" s="158"/>
    </row>
    <row r="103" spans="1:67" ht="15" x14ac:dyDescent="0.25">
      <c r="A103" s="71"/>
      <c r="B103" s="11"/>
      <c r="C103" s="11"/>
      <c r="D103" s="11"/>
      <c r="E103" s="11"/>
      <c r="F103" s="11"/>
      <c r="G103" s="11"/>
      <c r="H103" s="11"/>
      <c r="I103" s="11"/>
      <c r="J103" s="249"/>
      <c r="K103" s="72"/>
      <c r="L103" s="73"/>
      <c r="M103" s="73"/>
      <c r="N103" s="74"/>
      <c r="O103" s="75"/>
      <c r="P103" s="73"/>
      <c r="Q103" s="76"/>
      <c r="R103" s="76"/>
      <c r="S103" s="76"/>
      <c r="T103" s="76"/>
      <c r="U103" s="76"/>
      <c r="V103" s="76"/>
      <c r="W103" s="76"/>
      <c r="X103" s="76"/>
      <c r="Y103" s="76"/>
      <c r="Z103" s="77"/>
      <c r="AA103" s="77"/>
      <c r="AB103" s="77"/>
      <c r="AC103" s="77"/>
      <c r="AD103" s="77"/>
      <c r="AE103" s="77"/>
      <c r="AF103" s="77"/>
      <c r="AG103" s="77"/>
      <c r="AH103" s="78"/>
      <c r="AI103" s="78"/>
      <c r="AJ103" s="78"/>
      <c r="AK103" s="78"/>
      <c r="AL103" s="78"/>
      <c r="AM103" s="78"/>
      <c r="AN103" s="76"/>
      <c r="AO103" s="76"/>
      <c r="AP103" s="76"/>
      <c r="AQ103" s="76"/>
      <c r="AR103" s="76"/>
      <c r="AS103" s="76"/>
      <c r="AT103" s="76"/>
      <c r="AU103" s="76"/>
      <c r="AV103" s="76"/>
      <c r="AW103" s="79"/>
      <c r="AX103" s="79"/>
      <c r="AY103" s="79"/>
      <c r="AZ103" s="79"/>
      <c r="BA103" s="79"/>
      <c r="BB103" s="11"/>
      <c r="BC103" s="11"/>
      <c r="BD103" s="11"/>
      <c r="BE103" s="73"/>
      <c r="BF103" s="73"/>
      <c r="BG103" s="73"/>
      <c r="BH103" s="77"/>
      <c r="BI103" s="77"/>
      <c r="BJ103" s="77"/>
      <c r="BK103" s="77"/>
      <c r="BL103" s="77"/>
      <c r="BM103" s="77"/>
      <c r="BN103" s="158"/>
      <c r="BO103" s="158"/>
    </row>
    <row r="104" spans="1:67" ht="15" x14ac:dyDescent="0.25">
      <c r="A104" s="71"/>
      <c r="B104" s="11"/>
      <c r="C104" s="11"/>
      <c r="D104" s="11"/>
      <c r="E104" s="11"/>
      <c r="F104" s="11"/>
      <c r="G104" s="11"/>
      <c r="H104" s="11"/>
      <c r="I104" s="11"/>
      <c r="J104" s="249"/>
      <c r="K104" s="72"/>
      <c r="L104" s="73"/>
      <c r="M104" s="73"/>
      <c r="N104" s="74"/>
      <c r="O104" s="75"/>
      <c r="P104" s="73"/>
      <c r="Q104" s="76"/>
      <c r="R104" s="76"/>
      <c r="S104" s="76"/>
      <c r="T104" s="76"/>
      <c r="U104" s="76"/>
      <c r="V104" s="76"/>
      <c r="W104" s="76"/>
      <c r="X104" s="76"/>
      <c r="Y104" s="76"/>
      <c r="Z104" s="77"/>
      <c r="AA104" s="77"/>
      <c r="AB104" s="77"/>
      <c r="AC104" s="77"/>
      <c r="AD104" s="77"/>
      <c r="AE104" s="77"/>
      <c r="AF104" s="77"/>
      <c r="AG104" s="77"/>
      <c r="AH104" s="78"/>
      <c r="AI104" s="78"/>
      <c r="AJ104" s="78"/>
      <c r="AK104" s="78"/>
      <c r="AL104" s="78"/>
      <c r="AM104" s="78"/>
      <c r="AN104" s="76"/>
      <c r="AO104" s="76"/>
      <c r="AP104" s="76"/>
      <c r="AQ104" s="76"/>
      <c r="AR104" s="76"/>
      <c r="AS104" s="76"/>
      <c r="AT104" s="76"/>
      <c r="AU104" s="76"/>
      <c r="AV104" s="76"/>
      <c r="AW104" s="79"/>
      <c r="AX104" s="79"/>
      <c r="AY104" s="79"/>
      <c r="AZ104" s="79"/>
      <c r="BA104" s="79"/>
      <c r="BB104" s="11"/>
      <c r="BC104" s="11"/>
      <c r="BD104" s="11"/>
      <c r="BE104" s="73"/>
      <c r="BF104" s="73"/>
      <c r="BG104" s="73"/>
      <c r="BH104" s="77"/>
      <c r="BI104" s="77"/>
      <c r="BJ104" s="77"/>
      <c r="BK104" s="77"/>
      <c r="BL104" s="77"/>
      <c r="BM104" s="77"/>
      <c r="BN104" s="158"/>
      <c r="BO104" s="158"/>
    </row>
    <row r="105" spans="1:67" ht="15" x14ac:dyDescent="0.25">
      <c r="A105" s="71"/>
      <c r="B105" s="11"/>
      <c r="C105" s="11"/>
      <c r="D105" s="11"/>
      <c r="E105" s="11"/>
      <c r="F105" s="11"/>
      <c r="G105" s="11"/>
      <c r="H105" s="11"/>
      <c r="I105" s="11"/>
      <c r="J105" s="249"/>
      <c r="K105" s="72"/>
      <c r="L105" s="73"/>
      <c r="M105" s="73"/>
      <c r="N105" s="74"/>
      <c r="O105" s="75"/>
      <c r="P105" s="73"/>
      <c r="Q105" s="76"/>
      <c r="R105" s="76"/>
      <c r="S105" s="76"/>
      <c r="T105" s="76"/>
      <c r="U105" s="76"/>
      <c r="V105" s="76"/>
      <c r="W105" s="76"/>
      <c r="X105" s="76"/>
      <c r="Y105" s="76"/>
      <c r="Z105" s="77"/>
      <c r="AA105" s="77"/>
      <c r="AB105" s="77"/>
      <c r="AC105" s="77"/>
      <c r="AD105" s="77"/>
      <c r="AE105" s="77"/>
      <c r="AF105" s="77"/>
      <c r="AG105" s="77"/>
      <c r="AH105" s="78"/>
      <c r="AI105" s="78"/>
      <c r="AJ105" s="78"/>
      <c r="AK105" s="78"/>
      <c r="AL105" s="78"/>
      <c r="AM105" s="78"/>
      <c r="AN105" s="76"/>
      <c r="AO105" s="76"/>
      <c r="AP105" s="76"/>
      <c r="AQ105" s="76"/>
      <c r="AR105" s="76"/>
      <c r="AS105" s="76"/>
      <c r="AT105" s="76"/>
      <c r="AU105" s="76"/>
      <c r="AV105" s="76"/>
      <c r="AW105" s="79"/>
      <c r="AX105" s="79"/>
      <c r="AY105" s="79"/>
      <c r="AZ105" s="79"/>
      <c r="BA105" s="79"/>
      <c r="BB105" s="11"/>
      <c r="BC105" s="11"/>
      <c r="BD105" s="11"/>
      <c r="BE105" s="73"/>
      <c r="BF105" s="73"/>
      <c r="BG105" s="73"/>
      <c r="BH105" s="77"/>
      <c r="BI105" s="77"/>
      <c r="BJ105" s="77"/>
      <c r="BK105" s="77"/>
      <c r="BL105" s="77"/>
      <c r="BM105" s="77"/>
      <c r="BN105" s="158"/>
      <c r="BO105" s="158"/>
    </row>
    <row r="106" spans="1:67" ht="15" x14ac:dyDescent="0.25">
      <c r="A106" s="71"/>
      <c r="B106" s="11"/>
      <c r="C106" s="11"/>
      <c r="D106" s="11"/>
      <c r="E106" s="11"/>
      <c r="F106" s="11"/>
      <c r="G106" s="11"/>
      <c r="H106" s="11"/>
      <c r="I106" s="11"/>
      <c r="J106" s="249"/>
      <c r="K106" s="72"/>
      <c r="L106" s="73"/>
      <c r="M106" s="73"/>
      <c r="N106" s="74"/>
      <c r="O106" s="75"/>
      <c r="P106" s="73"/>
      <c r="Q106" s="76"/>
      <c r="R106" s="76"/>
      <c r="S106" s="76"/>
      <c r="T106" s="76"/>
      <c r="U106" s="76"/>
      <c r="V106" s="76"/>
      <c r="W106" s="76"/>
      <c r="X106" s="76"/>
      <c r="Y106" s="76"/>
      <c r="Z106" s="77"/>
      <c r="AA106" s="77"/>
      <c r="AB106" s="77"/>
      <c r="AC106" s="77"/>
      <c r="AD106" s="77"/>
      <c r="AE106" s="77"/>
      <c r="AF106" s="77"/>
      <c r="AG106" s="77"/>
      <c r="AH106" s="78"/>
      <c r="AI106" s="78"/>
      <c r="AJ106" s="78"/>
      <c r="AK106" s="78"/>
      <c r="AL106" s="78"/>
      <c r="AM106" s="78"/>
      <c r="AN106" s="76"/>
      <c r="AO106" s="76"/>
      <c r="AP106" s="76"/>
      <c r="AQ106" s="76"/>
      <c r="AR106" s="76"/>
      <c r="AS106" s="76"/>
      <c r="AT106" s="76"/>
      <c r="AU106" s="76"/>
      <c r="AV106" s="76"/>
      <c r="AW106" s="79"/>
      <c r="AX106" s="79"/>
      <c r="AY106" s="79"/>
      <c r="AZ106" s="79"/>
      <c r="BA106" s="79"/>
      <c r="BB106" s="11"/>
      <c r="BC106" s="11"/>
      <c r="BD106" s="11"/>
      <c r="BE106" s="73"/>
      <c r="BF106" s="73"/>
      <c r="BG106" s="73"/>
      <c r="BH106" s="77"/>
      <c r="BI106" s="77"/>
      <c r="BJ106" s="77"/>
      <c r="BK106" s="77"/>
      <c r="BL106" s="77"/>
      <c r="BM106" s="77"/>
      <c r="BN106" s="158"/>
      <c r="BO106" s="158"/>
    </row>
    <row r="107" spans="1:67" ht="15" x14ac:dyDescent="0.25">
      <c r="A107" s="71"/>
      <c r="B107" s="11"/>
      <c r="C107" s="11"/>
      <c r="D107" s="11"/>
      <c r="E107" s="11"/>
      <c r="F107" s="11"/>
      <c r="G107" s="11"/>
      <c r="H107" s="11"/>
      <c r="I107" s="11"/>
      <c r="J107" s="249"/>
      <c r="K107" s="72"/>
      <c r="L107" s="73"/>
      <c r="M107" s="73"/>
      <c r="N107" s="74"/>
      <c r="O107" s="75"/>
      <c r="P107" s="73"/>
      <c r="Q107" s="76"/>
      <c r="R107" s="76"/>
      <c r="S107" s="76"/>
      <c r="T107" s="76"/>
      <c r="U107" s="76"/>
      <c r="V107" s="76"/>
      <c r="W107" s="76"/>
      <c r="X107" s="76"/>
      <c r="Y107" s="76"/>
      <c r="Z107" s="77"/>
      <c r="AA107" s="77"/>
      <c r="AB107" s="77"/>
      <c r="AC107" s="77"/>
      <c r="AD107" s="77"/>
      <c r="AE107" s="77"/>
      <c r="AF107" s="77"/>
      <c r="AG107" s="77"/>
      <c r="AH107" s="78"/>
      <c r="AI107" s="78"/>
      <c r="AJ107" s="78"/>
      <c r="AK107" s="78"/>
      <c r="AL107" s="78"/>
      <c r="AM107" s="78"/>
      <c r="AN107" s="76"/>
      <c r="AO107" s="76"/>
      <c r="AP107" s="76"/>
      <c r="AQ107" s="76"/>
      <c r="AR107" s="76"/>
      <c r="AS107" s="76"/>
      <c r="AT107" s="76"/>
      <c r="AU107" s="76"/>
      <c r="AV107" s="76"/>
      <c r="AW107" s="79"/>
      <c r="AX107" s="79"/>
      <c r="AY107" s="79"/>
      <c r="AZ107" s="79"/>
      <c r="BA107" s="79"/>
      <c r="BB107" s="11"/>
      <c r="BC107" s="11"/>
      <c r="BD107" s="11"/>
      <c r="BE107" s="73"/>
      <c r="BF107" s="73"/>
      <c r="BG107" s="73"/>
      <c r="BH107" s="77"/>
      <c r="BI107" s="77"/>
      <c r="BJ107" s="77"/>
      <c r="BK107" s="77"/>
      <c r="BL107" s="77"/>
      <c r="BM107" s="77"/>
      <c r="BN107" s="158"/>
      <c r="BO107" s="158"/>
    </row>
    <row r="108" spans="1:67" ht="15" x14ac:dyDescent="0.25">
      <c r="A108" s="71"/>
      <c r="B108" s="11"/>
      <c r="C108" s="11"/>
      <c r="D108" s="11"/>
      <c r="E108" s="11"/>
      <c r="F108" s="11"/>
      <c r="G108" s="11"/>
      <c r="H108" s="11"/>
      <c r="I108" s="11"/>
      <c r="J108" s="249"/>
      <c r="K108" s="72"/>
      <c r="L108" s="73"/>
      <c r="M108" s="73"/>
      <c r="N108" s="74"/>
      <c r="O108" s="75"/>
      <c r="P108" s="73"/>
      <c r="Q108" s="76"/>
      <c r="R108" s="76"/>
      <c r="S108" s="76"/>
      <c r="T108" s="76"/>
      <c r="U108" s="76"/>
      <c r="V108" s="76"/>
      <c r="W108" s="76"/>
      <c r="X108" s="76"/>
      <c r="Y108" s="76"/>
      <c r="Z108" s="77"/>
      <c r="AA108" s="77"/>
      <c r="AB108" s="77"/>
      <c r="AC108" s="77"/>
      <c r="AD108" s="77"/>
      <c r="AE108" s="77"/>
      <c r="AF108" s="77"/>
      <c r="AG108" s="77"/>
      <c r="AH108" s="78"/>
      <c r="AI108" s="78"/>
      <c r="AJ108" s="78"/>
      <c r="AK108" s="78"/>
      <c r="AL108" s="78"/>
      <c r="AM108" s="78"/>
      <c r="AN108" s="76"/>
      <c r="AO108" s="76"/>
      <c r="AP108" s="76"/>
      <c r="AQ108" s="76"/>
      <c r="AR108" s="76"/>
      <c r="AS108" s="76"/>
      <c r="AT108" s="76"/>
      <c r="AU108" s="76"/>
      <c r="AV108" s="76"/>
      <c r="AW108" s="79"/>
      <c r="AX108" s="79"/>
      <c r="AY108" s="79"/>
      <c r="AZ108" s="79"/>
      <c r="BA108" s="79"/>
      <c r="BB108" s="11"/>
      <c r="BC108" s="11"/>
      <c r="BD108" s="11"/>
      <c r="BE108" s="73"/>
      <c r="BF108" s="73"/>
      <c r="BG108" s="73"/>
      <c r="BH108" s="77"/>
      <c r="BI108" s="77"/>
      <c r="BJ108" s="77"/>
      <c r="BK108" s="77"/>
      <c r="BL108" s="77"/>
      <c r="BM108" s="77"/>
      <c r="BN108" s="158"/>
      <c r="BO108" s="158"/>
    </row>
    <row r="109" spans="1:67" ht="15" x14ac:dyDescent="0.25">
      <c r="A109" s="71"/>
      <c r="B109" s="11"/>
      <c r="C109" s="11"/>
      <c r="D109" s="11"/>
      <c r="E109" s="11"/>
      <c r="F109" s="11"/>
      <c r="G109" s="11"/>
      <c r="H109" s="11"/>
      <c r="I109" s="11"/>
      <c r="J109" s="249"/>
      <c r="K109" s="72"/>
      <c r="L109" s="73"/>
      <c r="M109" s="73"/>
      <c r="N109" s="74"/>
      <c r="O109" s="75"/>
      <c r="P109" s="73"/>
      <c r="Q109" s="76"/>
      <c r="R109" s="76"/>
      <c r="S109" s="76"/>
      <c r="T109" s="76"/>
      <c r="U109" s="76"/>
      <c r="V109" s="76"/>
      <c r="W109" s="76"/>
      <c r="X109" s="76"/>
      <c r="Y109" s="76"/>
      <c r="Z109" s="77"/>
      <c r="AA109" s="77"/>
      <c r="AB109" s="77"/>
      <c r="AC109" s="77"/>
      <c r="AD109" s="77"/>
      <c r="AE109" s="77"/>
      <c r="AF109" s="77"/>
      <c r="AG109" s="77"/>
      <c r="AH109" s="78"/>
      <c r="AI109" s="78"/>
      <c r="AJ109" s="78"/>
      <c r="AK109" s="78"/>
      <c r="AL109" s="78"/>
      <c r="AM109" s="78"/>
      <c r="AN109" s="76"/>
      <c r="AO109" s="76"/>
      <c r="AP109" s="76"/>
      <c r="AQ109" s="76"/>
      <c r="AR109" s="76"/>
      <c r="AS109" s="76"/>
      <c r="AT109" s="76"/>
      <c r="AU109" s="76"/>
      <c r="AV109" s="76"/>
      <c r="AW109" s="79"/>
      <c r="AX109" s="79"/>
      <c r="AY109" s="79"/>
      <c r="AZ109" s="79"/>
      <c r="BA109" s="79"/>
      <c r="BB109" s="11"/>
      <c r="BC109" s="11"/>
      <c r="BD109" s="11"/>
      <c r="BE109" s="73"/>
      <c r="BF109" s="73"/>
      <c r="BG109" s="73"/>
      <c r="BH109" s="77"/>
      <c r="BI109" s="77"/>
      <c r="BJ109" s="77"/>
      <c r="BK109" s="77"/>
      <c r="BL109" s="77"/>
      <c r="BM109" s="77"/>
      <c r="BN109" s="158"/>
      <c r="BO109" s="158"/>
    </row>
    <row r="110" spans="1:67" ht="15" x14ac:dyDescent="0.25">
      <c r="A110" s="71"/>
      <c r="B110" s="11"/>
      <c r="C110" s="11"/>
      <c r="D110" s="11"/>
      <c r="E110" s="11"/>
      <c r="F110" s="11"/>
      <c r="G110" s="11"/>
      <c r="H110" s="11"/>
      <c r="I110" s="11"/>
      <c r="J110" s="249"/>
      <c r="K110" s="72"/>
      <c r="L110" s="73"/>
      <c r="M110" s="73"/>
      <c r="N110" s="74"/>
      <c r="O110" s="75"/>
      <c r="P110" s="73"/>
      <c r="Q110" s="76"/>
      <c r="R110" s="76"/>
      <c r="S110" s="76"/>
      <c r="T110" s="76"/>
      <c r="U110" s="76"/>
      <c r="V110" s="76"/>
      <c r="W110" s="76"/>
      <c r="X110" s="76"/>
      <c r="Y110" s="76"/>
      <c r="Z110" s="77"/>
      <c r="AA110" s="77"/>
      <c r="AB110" s="77"/>
      <c r="AC110" s="77"/>
      <c r="AD110" s="77"/>
      <c r="AE110" s="77"/>
      <c r="AF110" s="77"/>
      <c r="AG110" s="77"/>
      <c r="AH110" s="78"/>
      <c r="AI110" s="78"/>
      <c r="AJ110" s="78"/>
      <c r="AK110" s="78"/>
      <c r="AL110" s="78"/>
      <c r="AM110" s="78"/>
      <c r="AN110" s="76"/>
      <c r="AO110" s="76"/>
      <c r="AP110" s="76"/>
      <c r="AQ110" s="76"/>
      <c r="AR110" s="76"/>
      <c r="AS110" s="76"/>
      <c r="AT110" s="76"/>
      <c r="AU110" s="76"/>
      <c r="AV110" s="76"/>
      <c r="AW110" s="79"/>
      <c r="AX110" s="79"/>
      <c r="AY110" s="79"/>
      <c r="AZ110" s="79"/>
      <c r="BA110" s="79"/>
      <c r="BB110" s="11"/>
      <c r="BC110" s="11"/>
      <c r="BD110" s="11"/>
      <c r="BE110" s="73"/>
      <c r="BF110" s="73"/>
      <c r="BG110" s="73"/>
      <c r="BH110" s="77"/>
      <c r="BI110" s="77"/>
      <c r="BJ110" s="77"/>
      <c r="BK110" s="77"/>
      <c r="BL110" s="77"/>
      <c r="BM110" s="77"/>
      <c r="BN110" s="158"/>
      <c r="BO110" s="158"/>
    </row>
    <row r="111" spans="1:67" ht="15" x14ac:dyDescent="0.25">
      <c r="A111" s="71"/>
      <c r="B111" s="11"/>
      <c r="C111" s="11"/>
      <c r="D111" s="11"/>
      <c r="E111" s="11"/>
      <c r="F111" s="11"/>
      <c r="G111" s="11"/>
      <c r="H111" s="11"/>
      <c r="I111" s="11"/>
      <c r="J111" s="249"/>
      <c r="K111" s="72"/>
      <c r="L111" s="73"/>
      <c r="M111" s="73"/>
      <c r="N111" s="74"/>
      <c r="O111" s="75"/>
      <c r="P111" s="73"/>
      <c r="Q111" s="76"/>
      <c r="R111" s="76"/>
      <c r="S111" s="76"/>
      <c r="T111" s="76"/>
      <c r="U111" s="76"/>
      <c r="V111" s="76"/>
      <c r="W111" s="76"/>
      <c r="X111" s="76"/>
      <c r="Y111" s="76"/>
      <c r="Z111" s="77"/>
      <c r="AA111" s="77"/>
      <c r="AB111" s="77"/>
      <c r="AC111" s="77"/>
      <c r="AD111" s="77"/>
      <c r="AE111" s="77"/>
      <c r="AF111" s="77"/>
      <c r="AG111" s="77"/>
      <c r="AH111" s="78"/>
      <c r="AI111" s="78"/>
      <c r="AJ111" s="78"/>
      <c r="AK111" s="78"/>
      <c r="AL111" s="78"/>
      <c r="AM111" s="78"/>
      <c r="AN111" s="76"/>
      <c r="AO111" s="76"/>
      <c r="AP111" s="76"/>
      <c r="AQ111" s="76"/>
      <c r="AR111" s="76"/>
      <c r="AS111" s="76"/>
      <c r="AT111" s="76"/>
      <c r="AU111" s="76"/>
      <c r="AV111" s="76"/>
      <c r="AW111" s="79"/>
      <c r="AX111" s="79"/>
      <c r="AY111" s="79"/>
      <c r="AZ111" s="79"/>
      <c r="BA111" s="79"/>
      <c r="BB111" s="11"/>
      <c r="BC111" s="11"/>
      <c r="BD111" s="11"/>
      <c r="BE111" s="73"/>
      <c r="BF111" s="73"/>
      <c r="BG111" s="73"/>
      <c r="BH111" s="77"/>
      <c r="BI111" s="77"/>
      <c r="BJ111" s="77"/>
      <c r="BK111" s="77"/>
      <c r="BL111" s="77"/>
      <c r="BM111" s="77"/>
      <c r="BN111" s="158"/>
      <c r="BO111" s="158"/>
    </row>
    <row r="112" spans="1:67" ht="15" x14ac:dyDescent="0.25">
      <c r="A112" s="71"/>
      <c r="B112" s="11"/>
      <c r="C112" s="11"/>
      <c r="D112" s="11"/>
      <c r="E112" s="11"/>
      <c r="F112" s="11"/>
      <c r="G112" s="11"/>
      <c r="H112" s="11"/>
      <c r="I112" s="11"/>
      <c r="J112" s="249"/>
      <c r="K112" s="72"/>
      <c r="L112" s="73"/>
      <c r="M112" s="73"/>
      <c r="N112" s="74"/>
      <c r="O112" s="75"/>
      <c r="P112" s="73"/>
      <c r="Q112" s="76"/>
      <c r="R112" s="76"/>
      <c r="S112" s="76"/>
      <c r="T112" s="76"/>
      <c r="U112" s="76"/>
      <c r="V112" s="76"/>
      <c r="W112" s="76"/>
      <c r="X112" s="76"/>
      <c r="Y112" s="76"/>
      <c r="Z112" s="77"/>
      <c r="AA112" s="77"/>
      <c r="AB112" s="77"/>
      <c r="AC112" s="77"/>
      <c r="AD112" s="77"/>
      <c r="AE112" s="77"/>
      <c r="AF112" s="77"/>
      <c r="AG112" s="77"/>
      <c r="AH112" s="78"/>
      <c r="AI112" s="78"/>
      <c r="AJ112" s="78"/>
      <c r="AK112" s="78"/>
      <c r="AL112" s="78"/>
      <c r="AM112" s="78"/>
      <c r="AN112" s="76"/>
      <c r="AO112" s="76"/>
      <c r="AP112" s="76"/>
      <c r="AQ112" s="76"/>
      <c r="AR112" s="76"/>
      <c r="AS112" s="76"/>
      <c r="AT112" s="76"/>
      <c r="AU112" s="76"/>
      <c r="AV112" s="76"/>
      <c r="AW112" s="79"/>
      <c r="AX112" s="79"/>
      <c r="AY112" s="79"/>
      <c r="AZ112" s="79"/>
      <c r="BA112" s="79"/>
      <c r="BB112" s="11"/>
      <c r="BC112" s="11"/>
      <c r="BD112" s="11"/>
      <c r="BE112" s="73"/>
      <c r="BF112" s="73"/>
      <c r="BG112" s="73"/>
      <c r="BH112" s="77"/>
      <c r="BI112" s="77"/>
      <c r="BJ112" s="77"/>
      <c r="BK112" s="77"/>
      <c r="BL112" s="77"/>
      <c r="BM112" s="77"/>
      <c r="BN112" s="158"/>
      <c r="BO112" s="158"/>
    </row>
    <row r="113" spans="1:67" ht="15" x14ac:dyDescent="0.25">
      <c r="A113" s="71"/>
      <c r="B113" s="11"/>
      <c r="C113" s="11"/>
      <c r="D113" s="11"/>
      <c r="E113" s="11"/>
      <c r="F113" s="11"/>
      <c r="G113" s="11"/>
      <c r="H113" s="11"/>
      <c r="I113" s="11"/>
      <c r="J113" s="249"/>
      <c r="K113" s="72"/>
      <c r="L113" s="73"/>
      <c r="M113" s="73"/>
      <c r="N113" s="74"/>
      <c r="O113" s="75"/>
      <c r="P113" s="73"/>
      <c r="Q113" s="76"/>
      <c r="R113" s="76"/>
      <c r="S113" s="76"/>
      <c r="T113" s="76"/>
      <c r="U113" s="76"/>
      <c r="V113" s="76"/>
      <c r="W113" s="76"/>
      <c r="X113" s="76"/>
      <c r="Y113" s="76"/>
      <c r="Z113" s="77"/>
      <c r="AA113" s="77"/>
      <c r="AB113" s="77"/>
      <c r="AC113" s="77"/>
      <c r="AD113" s="77"/>
      <c r="AE113" s="77"/>
      <c r="AF113" s="77"/>
      <c r="AG113" s="77"/>
      <c r="AH113" s="78"/>
      <c r="AI113" s="78"/>
      <c r="AJ113" s="78"/>
      <c r="AK113" s="78"/>
      <c r="AL113" s="78"/>
      <c r="AM113" s="78"/>
      <c r="AN113" s="76"/>
      <c r="AO113" s="76"/>
      <c r="AP113" s="76"/>
      <c r="AQ113" s="76"/>
      <c r="AR113" s="76"/>
      <c r="AS113" s="76"/>
      <c r="AT113" s="76"/>
      <c r="AU113" s="76"/>
      <c r="AV113" s="76"/>
      <c r="AW113" s="79"/>
      <c r="AX113" s="79"/>
      <c r="AY113" s="79"/>
      <c r="AZ113" s="79"/>
      <c r="BA113" s="79"/>
      <c r="BB113" s="11"/>
      <c r="BC113" s="11"/>
      <c r="BD113" s="11"/>
      <c r="BE113" s="73"/>
      <c r="BF113" s="73"/>
      <c r="BG113" s="73"/>
      <c r="BH113" s="77"/>
      <c r="BI113" s="77"/>
      <c r="BJ113" s="77"/>
      <c r="BK113" s="77"/>
      <c r="BL113" s="77"/>
      <c r="BM113" s="77"/>
      <c r="BN113" s="158"/>
      <c r="BO113" s="158"/>
    </row>
    <row r="114" spans="1:67" ht="15" x14ac:dyDescent="0.25">
      <c r="A114" s="71"/>
      <c r="B114" s="11"/>
      <c r="C114" s="11"/>
      <c r="D114" s="11"/>
      <c r="E114" s="11"/>
      <c r="F114" s="11"/>
      <c r="G114" s="11"/>
      <c r="H114" s="11"/>
      <c r="I114" s="11"/>
      <c r="J114" s="249"/>
      <c r="K114" s="72"/>
      <c r="L114" s="73"/>
      <c r="M114" s="73"/>
      <c r="N114" s="74"/>
      <c r="O114" s="75"/>
      <c r="P114" s="73"/>
      <c r="Q114" s="76"/>
      <c r="R114" s="76"/>
      <c r="S114" s="76"/>
      <c r="T114" s="76"/>
      <c r="U114" s="76"/>
      <c r="V114" s="76"/>
      <c r="W114" s="76"/>
      <c r="X114" s="76"/>
      <c r="Y114" s="76"/>
      <c r="Z114" s="77"/>
      <c r="AA114" s="77"/>
      <c r="AB114" s="77"/>
      <c r="AC114" s="77"/>
      <c r="AD114" s="77"/>
      <c r="AE114" s="77"/>
      <c r="AF114" s="77"/>
      <c r="AG114" s="77"/>
      <c r="AH114" s="78"/>
      <c r="AI114" s="78"/>
      <c r="AJ114" s="78"/>
      <c r="AK114" s="78"/>
      <c r="AL114" s="78"/>
      <c r="AM114" s="78"/>
      <c r="AN114" s="76"/>
      <c r="AO114" s="76"/>
      <c r="AP114" s="76"/>
      <c r="AQ114" s="76"/>
      <c r="AR114" s="76"/>
      <c r="AS114" s="76"/>
      <c r="AT114" s="76"/>
      <c r="AU114" s="76"/>
      <c r="AV114" s="76"/>
      <c r="AW114" s="79"/>
      <c r="AX114" s="79"/>
      <c r="AY114" s="79"/>
      <c r="AZ114" s="79"/>
      <c r="BA114" s="79"/>
      <c r="BB114" s="11"/>
      <c r="BC114" s="11"/>
      <c r="BD114" s="11"/>
      <c r="BE114" s="73"/>
      <c r="BF114" s="73"/>
      <c r="BG114" s="73"/>
      <c r="BH114" s="77"/>
      <c r="BI114" s="77"/>
      <c r="BJ114" s="77"/>
      <c r="BK114" s="77"/>
      <c r="BL114" s="77"/>
      <c r="BM114" s="77"/>
      <c r="BN114" s="158"/>
      <c r="BO114" s="158"/>
    </row>
    <row r="115" spans="1:67" ht="15" x14ac:dyDescent="0.25">
      <c r="A115" s="71"/>
      <c r="B115" s="11"/>
      <c r="C115" s="11"/>
      <c r="D115" s="11"/>
      <c r="E115" s="11"/>
      <c r="F115" s="11"/>
      <c r="G115" s="11"/>
      <c r="H115" s="11"/>
      <c r="I115" s="11"/>
      <c r="J115" s="249"/>
      <c r="K115" s="72"/>
      <c r="L115" s="73"/>
      <c r="M115" s="73"/>
      <c r="N115" s="74"/>
      <c r="O115" s="75"/>
      <c r="P115" s="73"/>
      <c r="Q115" s="76"/>
      <c r="R115" s="76"/>
      <c r="S115" s="76"/>
      <c r="T115" s="76"/>
      <c r="U115" s="76"/>
      <c r="V115" s="76"/>
      <c r="W115" s="76"/>
      <c r="X115" s="76"/>
      <c r="Y115" s="76"/>
      <c r="Z115" s="77"/>
      <c r="AA115" s="77"/>
      <c r="AB115" s="77"/>
      <c r="AC115" s="77"/>
      <c r="AD115" s="77"/>
      <c r="AE115" s="77"/>
      <c r="AF115" s="77"/>
      <c r="AG115" s="77"/>
      <c r="AH115" s="78"/>
      <c r="AI115" s="78"/>
      <c r="AJ115" s="78"/>
      <c r="AK115" s="78"/>
      <c r="AL115" s="78"/>
      <c r="AM115" s="78"/>
      <c r="AN115" s="76"/>
      <c r="AO115" s="76"/>
      <c r="AP115" s="76"/>
      <c r="AQ115" s="76"/>
      <c r="AR115" s="76"/>
      <c r="AS115" s="76"/>
      <c r="AT115" s="76"/>
      <c r="AU115" s="76"/>
      <c r="AV115" s="76"/>
      <c r="AW115" s="79"/>
      <c r="AX115" s="79"/>
      <c r="AY115" s="79"/>
      <c r="AZ115" s="79"/>
      <c r="BA115" s="79"/>
      <c r="BB115" s="11"/>
      <c r="BC115" s="11"/>
      <c r="BD115" s="11"/>
      <c r="BE115" s="73"/>
      <c r="BF115" s="73"/>
      <c r="BG115" s="73"/>
      <c r="BH115" s="77"/>
      <c r="BI115" s="77"/>
      <c r="BJ115" s="77"/>
      <c r="BK115" s="77"/>
      <c r="BL115" s="77"/>
      <c r="BM115" s="77"/>
      <c r="BN115" s="158"/>
      <c r="BO115" s="158"/>
    </row>
    <row r="116" spans="1:67" ht="15" x14ac:dyDescent="0.25">
      <c r="A116" s="71"/>
      <c r="B116" s="11"/>
      <c r="C116" s="11"/>
      <c r="D116" s="11"/>
      <c r="E116" s="11"/>
      <c r="F116" s="11"/>
      <c r="G116" s="11"/>
      <c r="H116" s="11"/>
      <c r="I116" s="11"/>
      <c r="J116" s="249"/>
      <c r="K116" s="72"/>
      <c r="L116" s="73"/>
      <c r="M116" s="73"/>
      <c r="N116" s="74"/>
      <c r="O116" s="75"/>
      <c r="P116" s="73"/>
      <c r="Q116" s="76"/>
      <c r="R116" s="76"/>
      <c r="S116" s="76"/>
      <c r="T116" s="76"/>
      <c r="U116" s="76"/>
      <c r="V116" s="76"/>
      <c r="W116" s="76"/>
      <c r="X116" s="76"/>
      <c r="Y116" s="76"/>
      <c r="Z116" s="77"/>
      <c r="AA116" s="77"/>
      <c r="AB116" s="77"/>
      <c r="AC116" s="77"/>
      <c r="AD116" s="77"/>
      <c r="AE116" s="77"/>
      <c r="AF116" s="77"/>
      <c r="AG116" s="77"/>
      <c r="AH116" s="78"/>
      <c r="AI116" s="78"/>
      <c r="AJ116" s="78"/>
      <c r="AK116" s="78"/>
      <c r="AL116" s="78"/>
      <c r="AM116" s="78"/>
      <c r="AN116" s="76"/>
      <c r="AO116" s="76"/>
      <c r="AP116" s="76"/>
      <c r="AQ116" s="76"/>
      <c r="AR116" s="76"/>
      <c r="AS116" s="76"/>
      <c r="AT116" s="76"/>
      <c r="AU116" s="76"/>
      <c r="AV116" s="76"/>
      <c r="AW116" s="79"/>
      <c r="AX116" s="79"/>
      <c r="AY116" s="79"/>
      <c r="AZ116" s="79"/>
      <c r="BA116" s="79"/>
      <c r="BB116" s="11"/>
      <c r="BC116" s="11"/>
      <c r="BD116" s="11"/>
      <c r="BE116" s="73"/>
      <c r="BF116" s="73"/>
      <c r="BG116" s="73"/>
      <c r="BH116" s="77"/>
      <c r="BI116" s="77"/>
      <c r="BJ116" s="77"/>
      <c r="BK116" s="77"/>
      <c r="BL116" s="77"/>
      <c r="BM116" s="77"/>
      <c r="BN116" s="158"/>
      <c r="BO116" s="158"/>
    </row>
    <row r="117" spans="1:67" ht="15" x14ac:dyDescent="0.25">
      <c r="A117" s="71"/>
      <c r="B117" s="11"/>
      <c r="C117" s="11"/>
      <c r="D117" s="11"/>
      <c r="E117" s="11"/>
      <c r="F117" s="11"/>
      <c r="G117" s="11"/>
      <c r="H117" s="11"/>
      <c r="I117" s="11"/>
      <c r="J117" s="249"/>
      <c r="K117" s="72"/>
      <c r="L117" s="73"/>
      <c r="M117" s="73"/>
      <c r="N117" s="74"/>
      <c r="O117" s="75"/>
      <c r="P117" s="73"/>
      <c r="Q117" s="76"/>
      <c r="R117" s="76"/>
      <c r="S117" s="76"/>
      <c r="T117" s="76"/>
      <c r="U117" s="76"/>
      <c r="V117" s="76"/>
      <c r="W117" s="76"/>
      <c r="X117" s="76"/>
      <c r="Y117" s="76"/>
      <c r="Z117" s="77"/>
      <c r="AA117" s="77"/>
      <c r="AB117" s="77"/>
      <c r="AC117" s="77"/>
      <c r="AD117" s="77"/>
      <c r="AE117" s="77"/>
      <c r="AF117" s="77"/>
      <c r="AG117" s="77"/>
      <c r="AH117" s="78"/>
      <c r="AI117" s="78"/>
      <c r="AJ117" s="78"/>
      <c r="AK117" s="78"/>
      <c r="AL117" s="78"/>
      <c r="AM117" s="78"/>
      <c r="AN117" s="76"/>
      <c r="AO117" s="76"/>
      <c r="AP117" s="76"/>
      <c r="AQ117" s="76"/>
      <c r="AR117" s="76"/>
      <c r="AS117" s="76"/>
      <c r="AT117" s="76"/>
      <c r="AU117" s="76"/>
      <c r="AV117" s="76"/>
      <c r="AW117" s="79"/>
      <c r="AX117" s="79"/>
      <c r="AY117" s="79"/>
      <c r="AZ117" s="79"/>
      <c r="BA117" s="79"/>
      <c r="BB117" s="11"/>
      <c r="BC117" s="11"/>
      <c r="BD117" s="11"/>
      <c r="BE117" s="73"/>
      <c r="BF117" s="73"/>
      <c r="BG117" s="73"/>
      <c r="BH117" s="77"/>
      <c r="BI117" s="77"/>
      <c r="BJ117" s="77"/>
      <c r="BK117" s="77"/>
      <c r="BL117" s="77"/>
      <c r="BM117" s="77"/>
      <c r="BN117" s="158"/>
      <c r="BO117" s="158"/>
    </row>
    <row r="118" spans="1:67" ht="15" x14ac:dyDescent="0.25">
      <c r="A118" s="71"/>
      <c r="B118" s="11"/>
      <c r="C118" s="11"/>
      <c r="D118" s="11"/>
      <c r="E118" s="11"/>
      <c r="F118" s="11"/>
      <c r="G118" s="11"/>
      <c r="H118" s="11"/>
      <c r="I118" s="11"/>
      <c r="J118" s="249"/>
      <c r="K118" s="72"/>
      <c r="L118" s="73"/>
      <c r="M118" s="73"/>
      <c r="N118" s="74"/>
      <c r="O118" s="75"/>
      <c r="P118" s="73"/>
      <c r="Q118" s="76"/>
      <c r="R118" s="76"/>
      <c r="S118" s="76"/>
      <c r="T118" s="76"/>
      <c r="U118" s="76"/>
      <c r="V118" s="76"/>
      <c r="W118" s="76"/>
      <c r="X118" s="76"/>
      <c r="Y118" s="76"/>
      <c r="Z118" s="77"/>
      <c r="AA118" s="77"/>
      <c r="AB118" s="77"/>
      <c r="AC118" s="77"/>
      <c r="AD118" s="77"/>
      <c r="AE118" s="77"/>
      <c r="AF118" s="77"/>
      <c r="AG118" s="77"/>
      <c r="AH118" s="78"/>
      <c r="AI118" s="78"/>
      <c r="AJ118" s="78"/>
      <c r="AK118" s="78"/>
      <c r="AL118" s="78"/>
      <c r="AM118" s="78"/>
      <c r="AN118" s="76"/>
      <c r="AO118" s="76"/>
      <c r="AP118" s="76"/>
      <c r="AQ118" s="76"/>
      <c r="AR118" s="76"/>
      <c r="AS118" s="76"/>
      <c r="AT118" s="76"/>
      <c r="AU118" s="76"/>
      <c r="AV118" s="76"/>
      <c r="AW118" s="79"/>
      <c r="AX118" s="79"/>
      <c r="AY118" s="79"/>
      <c r="AZ118" s="79"/>
      <c r="BA118" s="79"/>
      <c r="BB118" s="11"/>
      <c r="BC118" s="11"/>
      <c r="BD118" s="11"/>
      <c r="BE118" s="73"/>
      <c r="BF118" s="73"/>
      <c r="BG118" s="73"/>
      <c r="BH118" s="77"/>
      <c r="BI118" s="77"/>
      <c r="BJ118" s="77"/>
      <c r="BK118" s="77"/>
      <c r="BL118" s="77"/>
      <c r="BM118" s="77"/>
      <c r="BN118" s="158"/>
      <c r="BO118" s="158"/>
    </row>
    <row r="119" spans="1:67" ht="15" x14ac:dyDescent="0.25">
      <c r="A119" s="71"/>
      <c r="B119" s="11"/>
      <c r="C119" s="11"/>
      <c r="D119" s="11"/>
      <c r="E119" s="11"/>
      <c r="F119" s="11"/>
      <c r="G119" s="11"/>
      <c r="H119" s="11"/>
      <c r="I119" s="11"/>
      <c r="J119" s="249"/>
      <c r="K119" s="72"/>
      <c r="L119" s="73"/>
      <c r="M119" s="73"/>
      <c r="N119" s="74"/>
      <c r="O119" s="75"/>
      <c r="P119" s="73"/>
      <c r="Q119" s="76"/>
      <c r="R119" s="76"/>
      <c r="S119" s="76"/>
      <c r="T119" s="76"/>
      <c r="U119" s="76"/>
      <c r="V119" s="76"/>
      <c r="W119" s="76"/>
      <c r="X119" s="76"/>
      <c r="Y119" s="76"/>
      <c r="Z119" s="77"/>
      <c r="AA119" s="77"/>
      <c r="AB119" s="77"/>
      <c r="AC119" s="77"/>
      <c r="AD119" s="77"/>
      <c r="AE119" s="77"/>
      <c r="AF119" s="77"/>
      <c r="AG119" s="77"/>
      <c r="AH119" s="78"/>
      <c r="AI119" s="78"/>
      <c r="AJ119" s="78"/>
      <c r="AK119" s="78"/>
      <c r="AL119" s="78"/>
      <c r="AM119" s="78"/>
      <c r="AN119" s="76"/>
      <c r="AO119" s="76"/>
      <c r="AP119" s="76"/>
      <c r="AQ119" s="76"/>
      <c r="AR119" s="76"/>
      <c r="AS119" s="76"/>
      <c r="AT119" s="76"/>
      <c r="AU119" s="76"/>
      <c r="AV119" s="76"/>
      <c r="AW119" s="79"/>
      <c r="AX119" s="79"/>
      <c r="AY119" s="79"/>
      <c r="AZ119" s="79"/>
      <c r="BA119" s="79"/>
      <c r="BB119" s="11"/>
      <c r="BC119" s="11"/>
      <c r="BD119" s="11"/>
      <c r="BE119" s="73"/>
      <c r="BF119" s="73"/>
      <c r="BG119" s="73"/>
      <c r="BH119" s="77"/>
      <c r="BI119" s="77"/>
      <c r="BJ119" s="77"/>
      <c r="BK119" s="77"/>
      <c r="BL119" s="77"/>
      <c r="BM119" s="77"/>
      <c r="BN119" s="158"/>
      <c r="BO119" s="158"/>
    </row>
    <row r="120" spans="1:67" ht="15" x14ac:dyDescent="0.25">
      <c r="A120" s="71"/>
      <c r="B120" s="11"/>
      <c r="C120" s="11"/>
      <c r="D120" s="11"/>
      <c r="E120" s="11"/>
      <c r="F120" s="11"/>
      <c r="G120" s="11"/>
      <c r="H120" s="11"/>
      <c r="I120" s="11"/>
      <c r="J120" s="249"/>
      <c r="K120" s="72"/>
      <c r="L120" s="73"/>
      <c r="M120" s="73"/>
      <c r="N120" s="74"/>
      <c r="O120" s="75"/>
      <c r="P120" s="73"/>
      <c r="Q120" s="76"/>
      <c r="R120" s="76"/>
      <c r="S120" s="76"/>
      <c r="T120" s="76"/>
      <c r="U120" s="76"/>
      <c r="V120" s="76"/>
      <c r="W120" s="76"/>
      <c r="X120" s="76"/>
      <c r="Y120" s="76"/>
      <c r="Z120" s="77"/>
      <c r="AA120" s="77"/>
      <c r="AB120" s="77"/>
      <c r="AC120" s="77"/>
      <c r="AD120" s="77"/>
      <c r="AE120" s="77"/>
      <c r="AF120" s="77"/>
      <c r="AG120" s="77"/>
      <c r="AH120" s="78"/>
      <c r="AI120" s="78"/>
      <c r="AJ120" s="78"/>
      <c r="AK120" s="78"/>
      <c r="AL120" s="78"/>
      <c r="AM120" s="78"/>
      <c r="AN120" s="76"/>
      <c r="AO120" s="76"/>
      <c r="AP120" s="76"/>
      <c r="AQ120" s="76"/>
      <c r="AR120" s="76"/>
      <c r="AS120" s="76"/>
      <c r="AT120" s="76"/>
      <c r="AU120" s="76"/>
      <c r="AV120" s="76"/>
      <c r="AW120" s="79"/>
      <c r="AX120" s="79"/>
      <c r="AY120" s="79"/>
      <c r="AZ120" s="79"/>
      <c r="BA120" s="79"/>
      <c r="BB120" s="11"/>
      <c r="BC120" s="11"/>
      <c r="BD120" s="11"/>
      <c r="BE120" s="73"/>
      <c r="BF120" s="73"/>
      <c r="BG120" s="73"/>
      <c r="BH120" s="77"/>
      <c r="BI120" s="77"/>
      <c r="BJ120" s="77"/>
      <c r="BK120" s="77"/>
      <c r="BL120" s="77"/>
      <c r="BM120" s="77"/>
      <c r="BN120" s="158"/>
      <c r="BO120" s="158"/>
    </row>
    <row r="121" spans="1:67" ht="15" x14ac:dyDescent="0.25">
      <c r="A121" s="71"/>
      <c r="B121" s="11"/>
      <c r="C121" s="11"/>
      <c r="D121" s="11"/>
      <c r="E121" s="11"/>
      <c r="F121" s="11"/>
      <c r="G121" s="11"/>
      <c r="H121" s="11"/>
      <c r="I121" s="11"/>
      <c r="J121" s="249"/>
      <c r="K121" s="72"/>
      <c r="L121" s="73"/>
      <c r="M121" s="73"/>
      <c r="N121" s="74"/>
      <c r="O121" s="75"/>
      <c r="P121" s="73"/>
      <c r="Q121" s="76"/>
      <c r="R121" s="76"/>
      <c r="S121" s="76"/>
      <c r="T121" s="76"/>
      <c r="U121" s="76"/>
      <c r="V121" s="76"/>
      <c r="W121" s="76"/>
      <c r="X121" s="76"/>
      <c r="Y121" s="76"/>
      <c r="Z121" s="77"/>
      <c r="AA121" s="77"/>
      <c r="AB121" s="77"/>
      <c r="AC121" s="77"/>
      <c r="AD121" s="77"/>
      <c r="AE121" s="77"/>
      <c r="AF121" s="77"/>
      <c r="AG121" s="77"/>
      <c r="AH121" s="78"/>
      <c r="AI121" s="78"/>
      <c r="AJ121" s="78"/>
      <c r="AK121" s="78"/>
      <c r="AL121" s="78"/>
      <c r="AM121" s="78"/>
      <c r="AN121" s="76"/>
      <c r="AO121" s="76"/>
      <c r="AP121" s="76"/>
      <c r="AQ121" s="76"/>
      <c r="AR121" s="76"/>
      <c r="AS121" s="76"/>
      <c r="AT121" s="76"/>
      <c r="AU121" s="76"/>
      <c r="AV121" s="76"/>
      <c r="AW121" s="79"/>
      <c r="AX121" s="79"/>
      <c r="AY121" s="79"/>
      <c r="AZ121" s="79"/>
      <c r="BA121" s="79"/>
      <c r="BB121" s="11"/>
      <c r="BC121" s="11"/>
      <c r="BD121" s="11"/>
      <c r="BE121" s="73"/>
      <c r="BF121" s="73"/>
      <c r="BG121" s="73"/>
      <c r="BH121" s="77"/>
      <c r="BI121" s="77"/>
      <c r="BJ121" s="77"/>
      <c r="BK121" s="77"/>
      <c r="BL121" s="77"/>
      <c r="BM121" s="77"/>
      <c r="BN121" s="158"/>
      <c r="BO121" s="158"/>
    </row>
    <row r="122" spans="1:67" ht="15" x14ac:dyDescent="0.25">
      <c r="A122" s="71"/>
      <c r="B122" s="11"/>
      <c r="C122" s="11"/>
      <c r="D122" s="11"/>
      <c r="E122" s="11"/>
      <c r="F122" s="11"/>
      <c r="G122" s="11"/>
      <c r="H122" s="11"/>
      <c r="I122" s="11"/>
      <c r="J122" s="249"/>
      <c r="K122" s="72"/>
      <c r="L122" s="73"/>
      <c r="M122" s="73"/>
      <c r="N122" s="74"/>
      <c r="O122" s="75"/>
      <c r="P122" s="73"/>
      <c r="Q122" s="76"/>
      <c r="R122" s="76"/>
      <c r="S122" s="76"/>
      <c r="T122" s="76"/>
      <c r="U122" s="76"/>
      <c r="V122" s="76"/>
      <c r="W122" s="76"/>
      <c r="X122" s="76"/>
      <c r="Y122" s="76"/>
      <c r="Z122" s="77"/>
      <c r="AA122" s="77"/>
      <c r="AB122" s="77"/>
      <c r="AC122" s="77"/>
      <c r="AD122" s="77"/>
      <c r="AE122" s="77"/>
      <c r="AF122" s="77"/>
      <c r="AG122" s="77"/>
      <c r="AH122" s="78"/>
      <c r="AI122" s="78"/>
      <c r="AJ122" s="78"/>
      <c r="AK122" s="78"/>
      <c r="AL122" s="78"/>
      <c r="AM122" s="78"/>
      <c r="AN122" s="76"/>
      <c r="AO122" s="76"/>
      <c r="AP122" s="76"/>
      <c r="AQ122" s="76"/>
      <c r="AR122" s="76"/>
      <c r="AS122" s="76"/>
      <c r="AT122" s="76"/>
      <c r="AU122" s="76"/>
      <c r="AV122" s="76"/>
      <c r="AW122" s="79"/>
      <c r="AX122" s="79"/>
      <c r="AY122" s="79"/>
      <c r="AZ122" s="79"/>
      <c r="BA122" s="79"/>
      <c r="BB122" s="11"/>
      <c r="BC122" s="11"/>
      <c r="BD122" s="11"/>
      <c r="BE122" s="73"/>
      <c r="BF122" s="73"/>
      <c r="BG122" s="73"/>
      <c r="BH122" s="77"/>
      <c r="BI122" s="77"/>
      <c r="BJ122" s="77"/>
      <c r="BK122" s="77"/>
      <c r="BL122" s="77"/>
      <c r="BM122" s="77"/>
      <c r="BN122" s="158"/>
      <c r="BO122" s="158"/>
    </row>
    <row r="123" spans="1:67" ht="15" x14ac:dyDescent="0.25">
      <c r="A123" s="71"/>
      <c r="B123" s="11"/>
      <c r="C123" s="11"/>
      <c r="D123" s="11"/>
      <c r="E123" s="11"/>
      <c r="F123" s="11"/>
      <c r="G123" s="11"/>
      <c r="H123" s="11"/>
      <c r="I123" s="11"/>
      <c r="J123" s="249"/>
      <c r="K123" s="72"/>
      <c r="L123" s="73"/>
      <c r="M123" s="73"/>
      <c r="N123" s="74"/>
      <c r="O123" s="75"/>
      <c r="P123" s="73"/>
      <c r="Q123" s="76"/>
      <c r="R123" s="76"/>
      <c r="S123" s="76"/>
      <c r="T123" s="76"/>
      <c r="U123" s="76"/>
      <c r="V123" s="76"/>
      <c r="W123" s="76"/>
      <c r="X123" s="76"/>
      <c r="Y123" s="76"/>
      <c r="Z123" s="77"/>
      <c r="AA123" s="77"/>
      <c r="AB123" s="77"/>
      <c r="AC123" s="77"/>
      <c r="AD123" s="77"/>
      <c r="AE123" s="77"/>
      <c r="AF123" s="77"/>
      <c r="AG123" s="77"/>
      <c r="AH123" s="78"/>
      <c r="AI123" s="78"/>
      <c r="AJ123" s="78"/>
      <c r="AK123" s="78"/>
      <c r="AL123" s="78"/>
      <c r="AM123" s="78"/>
      <c r="AN123" s="76"/>
      <c r="AO123" s="76"/>
      <c r="AP123" s="76"/>
      <c r="AQ123" s="76"/>
      <c r="AR123" s="76"/>
      <c r="AS123" s="76"/>
      <c r="AT123" s="76"/>
      <c r="AU123" s="76"/>
      <c r="AV123" s="76"/>
      <c r="AW123" s="79"/>
      <c r="AX123" s="79"/>
      <c r="AY123" s="79"/>
      <c r="AZ123" s="79"/>
      <c r="BA123" s="79"/>
      <c r="BB123" s="11"/>
      <c r="BC123" s="11"/>
      <c r="BD123" s="11"/>
      <c r="BE123" s="73"/>
      <c r="BF123" s="73"/>
      <c r="BG123" s="73"/>
      <c r="BH123" s="77"/>
      <c r="BI123" s="77"/>
      <c r="BJ123" s="77"/>
      <c r="BK123" s="77"/>
      <c r="BL123" s="77"/>
      <c r="BM123" s="77"/>
      <c r="BN123" s="158"/>
      <c r="BO123" s="158"/>
    </row>
    <row r="124" spans="1:67" ht="15" x14ac:dyDescent="0.25">
      <c r="A124" s="71"/>
      <c r="B124" s="11"/>
      <c r="C124" s="11"/>
      <c r="D124" s="11"/>
      <c r="E124" s="11"/>
      <c r="F124" s="11"/>
      <c r="G124" s="11"/>
      <c r="H124" s="11"/>
      <c r="I124" s="11"/>
      <c r="J124" s="249"/>
      <c r="K124" s="72"/>
      <c r="L124" s="73"/>
      <c r="M124" s="73"/>
      <c r="N124" s="74"/>
      <c r="O124" s="75"/>
      <c r="P124" s="73"/>
      <c r="Q124" s="76"/>
      <c r="R124" s="76"/>
      <c r="S124" s="76"/>
      <c r="T124" s="76"/>
      <c r="U124" s="76"/>
      <c r="V124" s="76"/>
      <c r="W124" s="76"/>
      <c r="X124" s="76"/>
      <c r="Y124" s="76"/>
      <c r="Z124" s="77"/>
      <c r="AA124" s="77"/>
      <c r="AB124" s="77"/>
      <c r="AC124" s="77"/>
      <c r="AD124" s="77"/>
      <c r="AE124" s="77"/>
      <c r="AF124" s="77"/>
      <c r="AG124" s="77"/>
      <c r="AH124" s="78"/>
      <c r="AI124" s="78"/>
      <c r="AJ124" s="78"/>
      <c r="AK124" s="78"/>
      <c r="AL124" s="78"/>
      <c r="AM124" s="78"/>
      <c r="AN124" s="76"/>
      <c r="AO124" s="76"/>
      <c r="AP124" s="76"/>
      <c r="AQ124" s="76"/>
      <c r="AR124" s="76"/>
      <c r="AS124" s="76"/>
      <c r="AT124" s="76"/>
      <c r="AU124" s="76"/>
      <c r="AV124" s="76"/>
      <c r="AW124" s="79"/>
      <c r="AX124" s="79"/>
      <c r="AY124" s="79"/>
      <c r="AZ124" s="79"/>
      <c r="BA124" s="79"/>
      <c r="BB124" s="11"/>
      <c r="BC124" s="11"/>
      <c r="BD124" s="11"/>
      <c r="BE124" s="73"/>
      <c r="BF124" s="73"/>
      <c r="BG124" s="73"/>
      <c r="BH124" s="77"/>
      <c r="BI124" s="77"/>
      <c r="BJ124" s="77"/>
      <c r="BK124" s="77"/>
      <c r="BL124" s="77"/>
      <c r="BM124" s="77"/>
      <c r="BN124" s="158"/>
      <c r="BO124" s="158"/>
    </row>
    <row r="125" spans="1:67" ht="15" x14ac:dyDescent="0.25">
      <c r="A125" s="71"/>
      <c r="B125" s="11"/>
      <c r="C125" s="11"/>
      <c r="D125" s="11"/>
      <c r="E125" s="11"/>
      <c r="F125" s="11"/>
      <c r="G125" s="11"/>
      <c r="H125" s="11"/>
      <c r="I125" s="11"/>
      <c r="J125" s="249"/>
      <c r="K125" s="72"/>
      <c r="L125" s="73"/>
      <c r="M125" s="73"/>
      <c r="N125" s="74"/>
      <c r="O125" s="75"/>
      <c r="P125" s="73"/>
      <c r="Q125" s="76"/>
      <c r="R125" s="76"/>
      <c r="S125" s="76"/>
      <c r="T125" s="76"/>
      <c r="U125" s="76"/>
      <c r="V125" s="76"/>
      <c r="W125" s="76"/>
      <c r="X125" s="76"/>
      <c r="Y125" s="76"/>
      <c r="Z125" s="77"/>
      <c r="AA125" s="77"/>
      <c r="AB125" s="77"/>
      <c r="AC125" s="77"/>
      <c r="AD125" s="77"/>
      <c r="AE125" s="77"/>
      <c r="AF125" s="77"/>
      <c r="AG125" s="77"/>
      <c r="AH125" s="78"/>
      <c r="AI125" s="78"/>
      <c r="AJ125" s="78"/>
      <c r="AK125" s="78"/>
      <c r="AL125" s="78"/>
      <c r="AM125" s="78"/>
      <c r="AN125" s="76"/>
      <c r="AO125" s="76"/>
      <c r="AP125" s="76"/>
      <c r="AQ125" s="76"/>
      <c r="AR125" s="76"/>
      <c r="AS125" s="76"/>
      <c r="AT125" s="76"/>
      <c r="AU125" s="76"/>
      <c r="AV125" s="76"/>
      <c r="AW125" s="79"/>
      <c r="AX125" s="79"/>
      <c r="AY125" s="79"/>
      <c r="AZ125" s="79"/>
      <c r="BA125" s="79"/>
      <c r="BB125" s="11"/>
      <c r="BC125" s="11"/>
      <c r="BD125" s="11"/>
      <c r="BE125" s="73"/>
      <c r="BF125" s="73"/>
      <c r="BG125" s="73"/>
      <c r="BH125" s="77"/>
      <c r="BI125" s="77"/>
      <c r="BJ125" s="77"/>
      <c r="BK125" s="77"/>
      <c r="BL125" s="77"/>
      <c r="BM125" s="77"/>
      <c r="BN125" s="158"/>
      <c r="BO125" s="158"/>
    </row>
    <row r="126" spans="1:67" ht="15" x14ac:dyDescent="0.25">
      <c r="A126" s="71"/>
      <c r="B126" s="11"/>
      <c r="C126" s="11"/>
      <c r="D126" s="11"/>
      <c r="E126" s="11"/>
      <c r="F126" s="11"/>
      <c r="G126" s="11"/>
      <c r="H126" s="11"/>
      <c r="I126" s="11"/>
      <c r="J126" s="249"/>
      <c r="K126" s="72"/>
      <c r="L126" s="73"/>
      <c r="M126" s="73"/>
      <c r="N126" s="74"/>
      <c r="O126" s="75"/>
      <c r="P126" s="73"/>
      <c r="Q126" s="76"/>
      <c r="R126" s="76"/>
      <c r="S126" s="76"/>
      <c r="T126" s="76"/>
      <c r="U126" s="76"/>
      <c r="V126" s="76"/>
      <c r="W126" s="76"/>
      <c r="X126" s="76"/>
      <c r="Y126" s="76"/>
      <c r="Z126" s="77"/>
      <c r="AA126" s="77"/>
      <c r="AB126" s="77"/>
      <c r="AC126" s="77"/>
      <c r="AD126" s="77"/>
      <c r="AE126" s="77"/>
      <c r="AF126" s="77"/>
      <c r="AG126" s="77"/>
      <c r="AH126" s="78"/>
      <c r="AI126" s="78"/>
      <c r="AJ126" s="78"/>
      <c r="AK126" s="78"/>
      <c r="AL126" s="78"/>
      <c r="AM126" s="78"/>
      <c r="AN126" s="76"/>
      <c r="AO126" s="76"/>
      <c r="AP126" s="76"/>
      <c r="AQ126" s="76"/>
      <c r="AR126" s="76"/>
      <c r="AS126" s="76"/>
      <c r="AT126" s="76"/>
      <c r="AU126" s="76"/>
      <c r="AV126" s="76"/>
      <c r="AW126" s="79"/>
      <c r="AX126" s="79"/>
      <c r="AY126" s="79"/>
      <c r="AZ126" s="79"/>
      <c r="BA126" s="79"/>
      <c r="BB126" s="11"/>
      <c r="BC126" s="11"/>
      <c r="BD126" s="11"/>
      <c r="BE126" s="73"/>
      <c r="BF126" s="73"/>
      <c r="BG126" s="73"/>
      <c r="BH126" s="77"/>
      <c r="BI126" s="77"/>
      <c r="BJ126" s="77"/>
      <c r="BK126" s="77"/>
      <c r="BL126" s="77"/>
      <c r="BM126" s="77"/>
      <c r="BN126" s="158"/>
      <c r="BO126" s="158"/>
    </row>
    <row r="127" spans="1:67" ht="15" x14ac:dyDescent="0.25">
      <c r="A127" s="71"/>
      <c r="B127" s="11"/>
      <c r="C127" s="11"/>
      <c r="D127" s="11"/>
      <c r="E127" s="11"/>
      <c r="F127" s="11"/>
      <c r="G127" s="11"/>
      <c r="H127" s="11"/>
      <c r="I127" s="11"/>
      <c r="J127" s="249"/>
      <c r="K127" s="72"/>
      <c r="L127" s="73"/>
      <c r="M127" s="73"/>
      <c r="N127" s="74"/>
      <c r="O127" s="75"/>
      <c r="P127" s="73"/>
      <c r="Q127" s="76"/>
      <c r="R127" s="76"/>
      <c r="S127" s="76"/>
      <c r="T127" s="76"/>
      <c r="U127" s="76"/>
      <c r="V127" s="76"/>
      <c r="W127" s="76"/>
      <c r="X127" s="76"/>
      <c r="Y127" s="76"/>
      <c r="Z127" s="77"/>
      <c r="AA127" s="77"/>
      <c r="AB127" s="77"/>
      <c r="AC127" s="77"/>
      <c r="AD127" s="77"/>
      <c r="AE127" s="77"/>
      <c r="AF127" s="77"/>
      <c r="AG127" s="77"/>
      <c r="AH127" s="78"/>
      <c r="AI127" s="78"/>
      <c r="AJ127" s="78"/>
      <c r="AK127" s="78"/>
      <c r="AL127" s="78"/>
      <c r="AM127" s="78"/>
      <c r="AN127" s="76"/>
      <c r="AO127" s="76"/>
      <c r="AP127" s="76"/>
      <c r="AQ127" s="76"/>
      <c r="AR127" s="76"/>
      <c r="AS127" s="76"/>
      <c r="AT127" s="76"/>
      <c r="AU127" s="76"/>
      <c r="AV127" s="76"/>
      <c r="AW127" s="79"/>
      <c r="AX127" s="79"/>
      <c r="AY127" s="79"/>
      <c r="AZ127" s="79"/>
      <c r="BA127" s="79"/>
      <c r="BB127" s="11"/>
      <c r="BC127" s="11"/>
      <c r="BD127" s="11"/>
      <c r="BE127" s="73"/>
      <c r="BF127" s="73"/>
      <c r="BG127" s="73"/>
      <c r="BH127" s="77"/>
      <c r="BI127" s="77"/>
      <c r="BJ127" s="77"/>
      <c r="BK127" s="77"/>
      <c r="BL127" s="77"/>
      <c r="BM127" s="77"/>
      <c r="BN127" s="158"/>
      <c r="BO127" s="158"/>
    </row>
    <row r="128" spans="1:67" ht="15" x14ac:dyDescent="0.25">
      <c r="A128" s="71"/>
      <c r="B128" s="11"/>
      <c r="C128" s="11"/>
      <c r="D128" s="11"/>
      <c r="E128" s="11"/>
      <c r="F128" s="11"/>
      <c r="G128" s="11"/>
      <c r="H128" s="11"/>
      <c r="I128" s="11"/>
      <c r="J128" s="249"/>
      <c r="K128" s="72"/>
      <c r="L128" s="73"/>
      <c r="M128" s="73"/>
      <c r="N128" s="74"/>
      <c r="O128" s="75"/>
      <c r="P128" s="73"/>
      <c r="Q128" s="76"/>
      <c r="R128" s="76"/>
      <c r="S128" s="76"/>
      <c r="T128" s="76"/>
      <c r="U128" s="76"/>
      <c r="V128" s="76"/>
      <c r="W128" s="76"/>
      <c r="X128" s="76"/>
      <c r="Y128" s="76"/>
      <c r="Z128" s="77"/>
      <c r="AA128" s="77"/>
      <c r="AB128" s="77"/>
      <c r="AC128" s="77"/>
      <c r="AD128" s="77"/>
      <c r="AE128" s="77"/>
      <c r="AF128" s="77"/>
      <c r="AG128" s="77"/>
      <c r="AH128" s="78"/>
      <c r="AI128" s="78"/>
      <c r="AJ128" s="78"/>
      <c r="AK128" s="78"/>
      <c r="AL128" s="78"/>
      <c r="AM128" s="78"/>
      <c r="AN128" s="76"/>
      <c r="AO128" s="76"/>
      <c r="AP128" s="76"/>
      <c r="AQ128" s="76"/>
      <c r="AR128" s="76"/>
      <c r="AS128" s="76"/>
      <c r="AT128" s="76"/>
      <c r="AU128" s="76"/>
      <c r="AV128" s="76"/>
      <c r="AW128" s="79"/>
      <c r="AX128" s="79"/>
      <c r="AY128" s="79"/>
      <c r="AZ128" s="79"/>
      <c r="BA128" s="79"/>
      <c r="BB128" s="11"/>
      <c r="BC128" s="11"/>
      <c r="BD128" s="11"/>
      <c r="BE128" s="73"/>
      <c r="BF128" s="73"/>
      <c r="BG128" s="73"/>
      <c r="BH128" s="77"/>
      <c r="BI128" s="77"/>
      <c r="BJ128" s="77"/>
      <c r="BK128" s="77"/>
      <c r="BL128" s="77"/>
      <c r="BM128" s="77"/>
      <c r="BN128" s="158"/>
      <c r="BO128" s="158"/>
    </row>
    <row r="129" spans="1:67" ht="15" x14ac:dyDescent="0.25">
      <c r="A129" s="71"/>
      <c r="B129" s="11"/>
      <c r="C129" s="11"/>
      <c r="D129" s="11"/>
      <c r="E129" s="11"/>
      <c r="F129" s="11"/>
      <c r="G129" s="11"/>
      <c r="H129" s="11"/>
      <c r="I129" s="11"/>
      <c r="J129" s="249"/>
      <c r="K129" s="72"/>
      <c r="L129" s="73"/>
      <c r="M129" s="73"/>
      <c r="N129" s="74"/>
      <c r="O129" s="75"/>
      <c r="P129" s="73"/>
      <c r="Q129" s="76"/>
      <c r="R129" s="76"/>
      <c r="S129" s="76"/>
      <c r="T129" s="76"/>
      <c r="U129" s="76"/>
      <c r="V129" s="76"/>
      <c r="W129" s="76"/>
      <c r="X129" s="76"/>
      <c r="Y129" s="76"/>
      <c r="Z129" s="77"/>
      <c r="AA129" s="77"/>
      <c r="AB129" s="77"/>
      <c r="AC129" s="77"/>
      <c r="AD129" s="77"/>
      <c r="AE129" s="77"/>
      <c r="AF129" s="77"/>
      <c r="AG129" s="77"/>
      <c r="AH129" s="78"/>
      <c r="AI129" s="78"/>
      <c r="AJ129" s="78"/>
      <c r="AK129" s="78"/>
      <c r="AL129" s="78"/>
      <c r="AM129" s="78"/>
      <c r="AN129" s="76"/>
      <c r="AO129" s="76"/>
      <c r="AP129" s="76"/>
      <c r="AQ129" s="76"/>
      <c r="AR129" s="76"/>
      <c r="AS129" s="76"/>
      <c r="AT129" s="76"/>
      <c r="AU129" s="76"/>
      <c r="AV129" s="76"/>
      <c r="AW129" s="79"/>
      <c r="AX129" s="79"/>
      <c r="AY129" s="79"/>
      <c r="AZ129" s="79"/>
      <c r="BA129" s="79"/>
      <c r="BB129" s="11"/>
      <c r="BC129" s="11"/>
      <c r="BD129" s="11"/>
      <c r="BE129" s="73"/>
      <c r="BF129" s="73"/>
      <c r="BG129" s="73"/>
      <c r="BH129" s="77"/>
      <c r="BI129" s="77"/>
      <c r="BJ129" s="77"/>
      <c r="BK129" s="77"/>
      <c r="BL129" s="77"/>
      <c r="BM129" s="77"/>
      <c r="BN129" s="158"/>
      <c r="BO129" s="158"/>
    </row>
    <row r="130" spans="1:67" ht="15" x14ac:dyDescent="0.25">
      <c r="A130" s="71"/>
      <c r="B130" s="11"/>
      <c r="C130" s="11"/>
      <c r="D130" s="11"/>
      <c r="E130" s="11"/>
      <c r="F130" s="11"/>
      <c r="G130" s="11"/>
      <c r="H130" s="11"/>
      <c r="I130" s="11"/>
      <c r="J130" s="249"/>
      <c r="K130" s="72"/>
      <c r="L130" s="73"/>
      <c r="M130" s="73"/>
      <c r="N130" s="74"/>
      <c r="O130" s="75"/>
      <c r="P130" s="73"/>
      <c r="Q130" s="76"/>
      <c r="R130" s="76"/>
      <c r="S130" s="76"/>
      <c r="T130" s="76"/>
      <c r="U130" s="76"/>
      <c r="V130" s="76"/>
      <c r="W130" s="76"/>
      <c r="X130" s="76"/>
      <c r="Y130" s="76"/>
      <c r="Z130" s="77"/>
      <c r="AA130" s="77"/>
      <c r="AB130" s="77"/>
      <c r="AC130" s="77"/>
      <c r="AD130" s="77"/>
      <c r="AE130" s="77"/>
      <c r="AF130" s="77"/>
      <c r="AG130" s="77"/>
      <c r="AH130" s="78"/>
      <c r="AI130" s="78"/>
      <c r="AJ130" s="78"/>
      <c r="AK130" s="78"/>
      <c r="AL130" s="78"/>
      <c r="AM130" s="78"/>
      <c r="AN130" s="76"/>
      <c r="AO130" s="76"/>
      <c r="AP130" s="76"/>
      <c r="AQ130" s="76"/>
      <c r="AR130" s="76"/>
      <c r="AS130" s="76"/>
      <c r="AT130" s="76"/>
      <c r="AU130" s="76"/>
      <c r="AV130" s="76"/>
      <c r="AW130" s="79"/>
      <c r="AX130" s="79"/>
      <c r="AY130" s="79"/>
      <c r="AZ130" s="79"/>
      <c r="BA130" s="79"/>
      <c r="BB130" s="11"/>
      <c r="BC130" s="11"/>
      <c r="BD130" s="11"/>
      <c r="BE130" s="73"/>
      <c r="BF130" s="73"/>
      <c r="BG130" s="73"/>
      <c r="BH130" s="77"/>
      <c r="BI130" s="77"/>
      <c r="BJ130" s="77"/>
      <c r="BK130" s="77"/>
      <c r="BL130" s="77"/>
      <c r="BM130" s="77"/>
      <c r="BN130" s="158"/>
      <c r="BO130" s="158"/>
    </row>
    <row r="131" spans="1:67" ht="15" x14ac:dyDescent="0.25">
      <c r="A131" s="71"/>
      <c r="B131" s="11"/>
      <c r="C131" s="11"/>
      <c r="D131" s="11"/>
      <c r="E131" s="11"/>
      <c r="F131" s="11"/>
      <c r="G131" s="11"/>
      <c r="H131" s="11"/>
      <c r="I131" s="11"/>
      <c r="J131" s="249"/>
      <c r="K131" s="72"/>
      <c r="L131" s="73"/>
      <c r="M131" s="73"/>
      <c r="N131" s="74"/>
      <c r="O131" s="75"/>
      <c r="P131" s="73"/>
      <c r="Q131" s="76"/>
      <c r="R131" s="76"/>
      <c r="S131" s="76"/>
      <c r="T131" s="76"/>
      <c r="U131" s="76"/>
      <c r="V131" s="76"/>
      <c r="W131" s="76"/>
      <c r="X131" s="76"/>
      <c r="Y131" s="76"/>
      <c r="Z131" s="77"/>
      <c r="AA131" s="77"/>
      <c r="AB131" s="77"/>
      <c r="AC131" s="77"/>
      <c r="AD131" s="77"/>
      <c r="AE131" s="77"/>
      <c r="AF131" s="77"/>
      <c r="AG131" s="77"/>
      <c r="AH131" s="78"/>
      <c r="AI131" s="78"/>
      <c r="AJ131" s="78"/>
      <c r="AK131" s="78"/>
      <c r="AL131" s="78"/>
      <c r="AM131" s="78"/>
      <c r="AN131" s="76"/>
      <c r="AO131" s="76"/>
      <c r="AP131" s="76"/>
      <c r="AQ131" s="76"/>
      <c r="AR131" s="76"/>
      <c r="AS131" s="76"/>
      <c r="AT131" s="76"/>
      <c r="AU131" s="76"/>
      <c r="AV131" s="76"/>
      <c r="AW131" s="79"/>
      <c r="AX131" s="79"/>
      <c r="AY131" s="79"/>
      <c r="AZ131" s="79"/>
      <c r="BA131" s="79"/>
      <c r="BB131" s="11"/>
      <c r="BC131" s="11"/>
      <c r="BD131" s="11"/>
      <c r="BE131" s="73"/>
      <c r="BF131" s="73"/>
      <c r="BG131" s="73"/>
      <c r="BH131" s="77"/>
      <c r="BI131" s="77"/>
      <c r="BJ131" s="77"/>
      <c r="BK131" s="77"/>
      <c r="BL131" s="77"/>
      <c r="BM131" s="77"/>
      <c r="BN131" s="158"/>
      <c r="BO131" s="158"/>
    </row>
    <row r="132" spans="1:67" ht="15" x14ac:dyDescent="0.25">
      <c r="A132" s="71"/>
      <c r="B132" s="11"/>
      <c r="C132" s="11"/>
      <c r="D132" s="11"/>
      <c r="E132" s="11"/>
      <c r="F132" s="11"/>
      <c r="G132" s="11"/>
      <c r="H132" s="11"/>
      <c r="I132" s="11"/>
      <c r="J132" s="249"/>
      <c r="K132" s="72"/>
      <c r="L132" s="73"/>
      <c r="M132" s="73"/>
      <c r="N132" s="74"/>
      <c r="O132" s="75"/>
      <c r="P132" s="73"/>
      <c r="Q132" s="76"/>
      <c r="R132" s="76"/>
      <c r="S132" s="76"/>
      <c r="T132" s="76"/>
      <c r="U132" s="76"/>
      <c r="V132" s="76"/>
      <c r="W132" s="76"/>
      <c r="X132" s="76"/>
      <c r="Y132" s="76"/>
      <c r="Z132" s="77"/>
      <c r="AA132" s="77"/>
      <c r="AB132" s="77"/>
      <c r="AC132" s="77"/>
      <c r="AD132" s="77"/>
      <c r="AE132" s="77"/>
      <c r="AF132" s="77"/>
      <c r="AG132" s="77"/>
      <c r="AH132" s="78"/>
      <c r="AI132" s="78"/>
      <c r="AJ132" s="78"/>
      <c r="AK132" s="78"/>
      <c r="AL132" s="78"/>
      <c r="AM132" s="78"/>
      <c r="AN132" s="76"/>
      <c r="AO132" s="76"/>
      <c r="AP132" s="76"/>
      <c r="AQ132" s="76"/>
      <c r="AR132" s="76"/>
      <c r="AS132" s="76"/>
      <c r="AT132" s="76"/>
      <c r="AU132" s="76"/>
      <c r="AV132" s="76"/>
      <c r="AW132" s="79"/>
      <c r="AX132" s="79"/>
      <c r="AY132" s="79"/>
      <c r="AZ132" s="79"/>
      <c r="BA132" s="79"/>
      <c r="BB132" s="11"/>
      <c r="BC132" s="11"/>
      <c r="BD132" s="11"/>
      <c r="BE132" s="73"/>
      <c r="BF132" s="73"/>
      <c r="BG132" s="73"/>
      <c r="BH132" s="77"/>
      <c r="BI132" s="77"/>
      <c r="BJ132" s="77"/>
      <c r="BK132" s="77"/>
      <c r="BL132" s="77"/>
      <c r="BM132" s="77"/>
      <c r="BN132" s="158"/>
      <c r="BO132" s="158"/>
    </row>
    <row r="133" spans="1:67" ht="15" x14ac:dyDescent="0.25">
      <c r="A133" s="71"/>
      <c r="B133" s="11"/>
      <c r="C133" s="11"/>
      <c r="D133" s="11"/>
      <c r="E133" s="11"/>
      <c r="F133" s="11"/>
      <c r="G133" s="11"/>
      <c r="H133" s="11"/>
      <c r="I133" s="11"/>
      <c r="J133" s="249"/>
      <c r="K133" s="72"/>
      <c r="L133" s="73"/>
      <c r="M133" s="73"/>
      <c r="N133" s="74"/>
      <c r="O133" s="75"/>
      <c r="P133" s="73"/>
      <c r="Q133" s="76"/>
      <c r="R133" s="76"/>
      <c r="S133" s="76"/>
      <c r="T133" s="76"/>
      <c r="U133" s="76"/>
      <c r="V133" s="76"/>
      <c r="W133" s="76"/>
      <c r="X133" s="76"/>
      <c r="Y133" s="76"/>
      <c r="Z133" s="77"/>
      <c r="AA133" s="77"/>
      <c r="AB133" s="77"/>
      <c r="AC133" s="77"/>
      <c r="AD133" s="77"/>
      <c r="AE133" s="77"/>
      <c r="AF133" s="77"/>
      <c r="AG133" s="77"/>
      <c r="AH133" s="78"/>
      <c r="AI133" s="78"/>
      <c r="AJ133" s="78"/>
      <c r="AK133" s="78"/>
      <c r="AL133" s="78"/>
      <c r="AM133" s="78"/>
      <c r="AN133" s="76"/>
      <c r="AO133" s="76"/>
      <c r="AP133" s="76"/>
      <c r="AQ133" s="76"/>
      <c r="AR133" s="76"/>
      <c r="AS133" s="76"/>
      <c r="AT133" s="76"/>
      <c r="AU133" s="76"/>
      <c r="AV133" s="76"/>
      <c r="AW133" s="79"/>
      <c r="AX133" s="79"/>
      <c r="AY133" s="79"/>
      <c r="AZ133" s="79"/>
      <c r="BA133" s="79"/>
      <c r="BB133" s="11"/>
      <c r="BC133" s="11"/>
      <c r="BD133" s="11"/>
      <c r="BE133" s="73"/>
      <c r="BF133" s="73"/>
      <c r="BG133" s="73"/>
      <c r="BH133" s="77"/>
      <c r="BI133" s="77"/>
      <c r="BJ133" s="77"/>
      <c r="BK133" s="77"/>
      <c r="BL133" s="77"/>
      <c r="BM133" s="77"/>
      <c r="BN133" s="158"/>
      <c r="BO133" s="158"/>
    </row>
    <row r="134" spans="1:67" ht="15" x14ac:dyDescent="0.25">
      <c r="A134" s="71"/>
      <c r="B134" s="11"/>
      <c r="C134" s="11"/>
      <c r="D134" s="11"/>
      <c r="E134" s="11"/>
      <c r="F134" s="11"/>
      <c r="G134" s="11"/>
      <c r="H134" s="11"/>
      <c r="I134" s="11"/>
      <c r="J134" s="249"/>
      <c r="K134" s="72"/>
      <c r="L134" s="73"/>
      <c r="M134" s="73"/>
      <c r="N134" s="74"/>
      <c r="O134" s="75"/>
      <c r="P134" s="73"/>
      <c r="Q134" s="76"/>
      <c r="R134" s="76"/>
      <c r="S134" s="76"/>
      <c r="T134" s="76"/>
      <c r="U134" s="76"/>
      <c r="V134" s="76"/>
      <c r="W134" s="76"/>
      <c r="X134" s="76"/>
      <c r="Y134" s="76"/>
      <c r="Z134" s="77"/>
      <c r="AA134" s="77"/>
      <c r="AB134" s="77"/>
      <c r="AC134" s="77"/>
      <c r="AD134" s="77"/>
      <c r="AE134" s="77"/>
      <c r="AF134" s="77"/>
      <c r="AG134" s="77"/>
      <c r="AH134" s="78"/>
      <c r="AI134" s="78"/>
      <c r="AJ134" s="78"/>
      <c r="AK134" s="78"/>
      <c r="AL134" s="78"/>
      <c r="AM134" s="78"/>
      <c r="AN134" s="76"/>
      <c r="AO134" s="76"/>
      <c r="AP134" s="76"/>
      <c r="AQ134" s="76"/>
      <c r="AR134" s="76"/>
      <c r="AS134" s="76"/>
      <c r="AT134" s="76"/>
      <c r="AU134" s="76"/>
      <c r="AV134" s="76"/>
      <c r="AW134" s="79"/>
      <c r="AX134" s="79"/>
      <c r="AY134" s="79"/>
      <c r="AZ134" s="79"/>
      <c r="BA134" s="79"/>
      <c r="BB134" s="11"/>
      <c r="BC134" s="11"/>
      <c r="BD134" s="11"/>
      <c r="BE134" s="73"/>
      <c r="BF134" s="73"/>
      <c r="BG134" s="73"/>
      <c r="BH134" s="77"/>
      <c r="BI134" s="77"/>
      <c r="BJ134" s="77"/>
      <c r="BK134" s="77"/>
      <c r="BL134" s="77"/>
      <c r="BM134" s="77"/>
      <c r="BN134" s="158"/>
      <c r="BO134" s="158"/>
    </row>
    <row r="135" spans="1:67" ht="15" x14ac:dyDescent="0.25">
      <c r="A135" s="71"/>
      <c r="B135" s="11"/>
      <c r="C135" s="11"/>
      <c r="D135" s="11"/>
      <c r="E135" s="11"/>
      <c r="F135" s="11"/>
      <c r="G135" s="11"/>
      <c r="H135" s="11"/>
      <c r="I135" s="11"/>
      <c r="J135" s="249"/>
      <c r="K135" s="72"/>
      <c r="L135" s="73"/>
      <c r="M135" s="73"/>
      <c r="N135" s="74"/>
      <c r="O135" s="75"/>
      <c r="P135" s="73"/>
      <c r="Q135" s="76"/>
      <c r="R135" s="76"/>
      <c r="S135" s="76"/>
      <c r="T135" s="76"/>
      <c r="U135" s="76"/>
      <c r="V135" s="76"/>
      <c r="W135" s="76"/>
      <c r="X135" s="76"/>
      <c r="Y135" s="76"/>
      <c r="Z135" s="77"/>
      <c r="AA135" s="77"/>
      <c r="AB135" s="77"/>
      <c r="AC135" s="77"/>
      <c r="AD135" s="77"/>
      <c r="AE135" s="77"/>
      <c r="AF135" s="77"/>
      <c r="AG135" s="77"/>
      <c r="AH135" s="78"/>
      <c r="AI135" s="78"/>
      <c r="AJ135" s="78"/>
      <c r="AK135" s="78"/>
      <c r="AL135" s="78"/>
      <c r="AM135" s="78"/>
      <c r="AN135" s="76"/>
      <c r="AO135" s="76"/>
      <c r="AP135" s="76"/>
      <c r="AQ135" s="76"/>
      <c r="AR135" s="76"/>
      <c r="AS135" s="76"/>
      <c r="AT135" s="76"/>
      <c r="AU135" s="76"/>
      <c r="AV135" s="76"/>
      <c r="AW135" s="79"/>
      <c r="AX135" s="79"/>
      <c r="AY135" s="79"/>
      <c r="AZ135" s="79"/>
      <c r="BA135" s="79"/>
      <c r="BB135" s="11"/>
      <c r="BC135" s="11"/>
      <c r="BD135" s="11"/>
      <c r="BE135" s="73"/>
      <c r="BF135" s="73"/>
      <c r="BG135" s="73"/>
      <c r="BH135" s="77"/>
      <c r="BI135" s="77"/>
      <c r="BJ135" s="77"/>
      <c r="BK135" s="77"/>
      <c r="BL135" s="77"/>
      <c r="BM135" s="77"/>
      <c r="BN135" s="158"/>
      <c r="BO135" s="158"/>
    </row>
    <row r="136" spans="1:67" ht="15" x14ac:dyDescent="0.25">
      <c r="A136" s="71"/>
      <c r="B136" s="11"/>
      <c r="C136" s="11"/>
      <c r="D136" s="11"/>
      <c r="E136" s="11"/>
      <c r="F136" s="11"/>
      <c r="G136" s="11"/>
      <c r="H136" s="11"/>
      <c r="I136" s="11"/>
      <c r="J136" s="249"/>
      <c r="K136" s="72"/>
      <c r="L136" s="73"/>
      <c r="M136" s="73"/>
      <c r="N136" s="74"/>
      <c r="O136" s="75"/>
      <c r="P136" s="73"/>
      <c r="Q136" s="76"/>
      <c r="R136" s="76"/>
      <c r="S136" s="76"/>
      <c r="T136" s="76"/>
      <c r="U136" s="76"/>
      <c r="V136" s="76"/>
      <c r="W136" s="76"/>
      <c r="X136" s="76"/>
      <c r="Y136" s="76"/>
      <c r="Z136" s="77"/>
      <c r="AA136" s="77"/>
      <c r="AB136" s="77"/>
      <c r="AC136" s="77"/>
      <c r="AD136" s="77"/>
      <c r="AE136" s="77"/>
      <c r="AF136" s="77"/>
      <c r="AG136" s="77"/>
      <c r="AH136" s="78"/>
      <c r="AI136" s="78"/>
      <c r="AJ136" s="78"/>
      <c r="AK136" s="78"/>
      <c r="AL136" s="78"/>
      <c r="AM136" s="78"/>
      <c r="AN136" s="76"/>
      <c r="AO136" s="76"/>
      <c r="AP136" s="76"/>
      <c r="AQ136" s="76"/>
      <c r="AR136" s="76"/>
      <c r="AS136" s="76"/>
      <c r="AT136" s="76"/>
      <c r="AU136" s="76"/>
      <c r="AV136" s="76"/>
      <c r="AW136" s="79"/>
      <c r="AX136" s="79"/>
      <c r="AY136" s="79"/>
      <c r="AZ136" s="79"/>
      <c r="BA136" s="79"/>
      <c r="BB136" s="11"/>
      <c r="BC136" s="11"/>
      <c r="BD136" s="11"/>
      <c r="BE136" s="73"/>
      <c r="BF136" s="73"/>
      <c r="BG136" s="73"/>
      <c r="BH136" s="77"/>
      <c r="BI136" s="77"/>
      <c r="BJ136" s="77"/>
      <c r="BK136" s="77"/>
      <c r="BL136" s="77"/>
      <c r="BM136" s="77"/>
      <c r="BN136" s="158"/>
      <c r="BO136" s="158"/>
    </row>
    <row r="137" spans="1:67" ht="15" x14ac:dyDescent="0.25">
      <c r="A137" s="71"/>
      <c r="B137" s="11"/>
      <c r="C137" s="11"/>
      <c r="D137" s="11"/>
      <c r="E137" s="11"/>
      <c r="F137" s="11"/>
      <c r="G137" s="11"/>
      <c r="H137" s="11"/>
      <c r="I137" s="11"/>
      <c r="J137" s="249"/>
      <c r="K137" s="72"/>
      <c r="L137" s="73"/>
      <c r="M137" s="73"/>
      <c r="N137" s="74"/>
      <c r="O137" s="75"/>
      <c r="P137" s="73"/>
      <c r="Q137" s="76"/>
      <c r="R137" s="76"/>
      <c r="S137" s="76"/>
      <c r="T137" s="76"/>
      <c r="U137" s="76"/>
      <c r="V137" s="76"/>
      <c r="W137" s="76"/>
      <c r="X137" s="76"/>
      <c r="Y137" s="76"/>
      <c r="Z137" s="77"/>
      <c r="AA137" s="77"/>
      <c r="AB137" s="77"/>
      <c r="AC137" s="77"/>
      <c r="AD137" s="77"/>
      <c r="AE137" s="77"/>
      <c r="AF137" s="77"/>
      <c r="AG137" s="77"/>
      <c r="AH137" s="78"/>
      <c r="AI137" s="78"/>
      <c r="AJ137" s="78"/>
      <c r="AK137" s="78"/>
      <c r="AL137" s="78"/>
      <c r="AM137" s="78"/>
      <c r="AN137" s="76"/>
      <c r="AO137" s="76"/>
      <c r="AP137" s="76"/>
      <c r="AQ137" s="76"/>
      <c r="AR137" s="76"/>
      <c r="AS137" s="76"/>
      <c r="AT137" s="76"/>
      <c r="AU137" s="76"/>
      <c r="AV137" s="76"/>
      <c r="AW137" s="79"/>
      <c r="AX137" s="79"/>
      <c r="AY137" s="79"/>
      <c r="AZ137" s="79"/>
      <c r="BA137" s="79"/>
      <c r="BB137" s="11"/>
      <c r="BC137" s="11"/>
      <c r="BD137" s="11"/>
      <c r="BE137" s="73"/>
      <c r="BF137" s="73"/>
      <c r="BG137" s="73"/>
      <c r="BH137" s="77"/>
      <c r="BI137" s="77"/>
      <c r="BJ137" s="77"/>
      <c r="BK137" s="77"/>
      <c r="BL137" s="77"/>
      <c r="BM137" s="77"/>
      <c r="BN137" s="158"/>
      <c r="BO137" s="158"/>
    </row>
    <row r="138" spans="1:67" ht="15" x14ac:dyDescent="0.25">
      <c r="A138" s="71"/>
      <c r="B138" s="11"/>
      <c r="C138" s="11"/>
      <c r="D138" s="11"/>
      <c r="E138" s="11"/>
      <c r="F138" s="11"/>
      <c r="G138" s="11"/>
      <c r="H138" s="11"/>
      <c r="I138" s="11"/>
      <c r="J138" s="249"/>
      <c r="K138" s="72"/>
      <c r="L138" s="73"/>
      <c r="M138" s="73"/>
      <c r="N138" s="74"/>
      <c r="O138" s="75"/>
      <c r="P138" s="73"/>
      <c r="Q138" s="76"/>
      <c r="R138" s="76"/>
      <c r="S138" s="76"/>
      <c r="T138" s="76"/>
      <c r="U138" s="76"/>
      <c r="V138" s="76"/>
      <c r="W138" s="76"/>
      <c r="X138" s="76"/>
      <c r="Y138" s="76"/>
      <c r="Z138" s="77"/>
      <c r="AA138" s="77"/>
      <c r="AB138" s="77"/>
      <c r="AC138" s="77"/>
      <c r="AD138" s="77"/>
      <c r="AE138" s="77"/>
      <c r="AF138" s="77"/>
      <c r="AG138" s="77"/>
      <c r="AH138" s="78"/>
      <c r="AI138" s="78"/>
      <c r="AJ138" s="78"/>
      <c r="AK138" s="78"/>
      <c r="AL138" s="78"/>
      <c r="AM138" s="78"/>
      <c r="AN138" s="76"/>
      <c r="AO138" s="76"/>
      <c r="AP138" s="76"/>
      <c r="AQ138" s="76"/>
      <c r="AR138" s="76"/>
      <c r="AS138" s="76"/>
      <c r="AT138" s="76"/>
      <c r="AU138" s="76"/>
      <c r="AV138" s="76"/>
      <c r="AW138" s="79"/>
      <c r="AX138" s="79"/>
      <c r="AY138" s="79"/>
      <c r="AZ138" s="79"/>
      <c r="BA138" s="79"/>
      <c r="BB138" s="11"/>
      <c r="BC138" s="11"/>
      <c r="BD138" s="11"/>
      <c r="BE138" s="73"/>
      <c r="BF138" s="73"/>
      <c r="BG138" s="73"/>
      <c r="BH138" s="77"/>
      <c r="BI138" s="77"/>
      <c r="BJ138" s="77"/>
      <c r="BK138" s="77"/>
      <c r="BL138" s="77"/>
      <c r="BM138" s="77"/>
      <c r="BN138" s="158"/>
      <c r="BO138" s="158"/>
    </row>
    <row r="139" spans="1:67" ht="15" x14ac:dyDescent="0.25">
      <c r="A139" s="71"/>
      <c r="B139" s="11"/>
      <c r="C139" s="11"/>
      <c r="D139" s="11"/>
      <c r="E139" s="11"/>
      <c r="F139" s="11"/>
      <c r="G139" s="11"/>
      <c r="H139" s="11"/>
      <c r="I139" s="11"/>
      <c r="J139" s="249"/>
      <c r="K139" s="72"/>
      <c r="L139" s="73"/>
      <c r="M139" s="73"/>
      <c r="N139" s="74"/>
      <c r="O139" s="75"/>
      <c r="P139" s="73"/>
      <c r="Q139" s="76"/>
      <c r="R139" s="76"/>
      <c r="S139" s="76"/>
      <c r="T139" s="76"/>
      <c r="U139" s="76"/>
      <c r="V139" s="76"/>
      <c r="W139" s="76"/>
      <c r="X139" s="76"/>
      <c r="Y139" s="76"/>
      <c r="Z139" s="77"/>
      <c r="AA139" s="77"/>
      <c r="AB139" s="77"/>
      <c r="AC139" s="77"/>
      <c r="AD139" s="77"/>
      <c r="AE139" s="77"/>
      <c r="AF139" s="77"/>
      <c r="AG139" s="77"/>
      <c r="AH139" s="78"/>
      <c r="AI139" s="78"/>
      <c r="AJ139" s="78"/>
      <c r="AK139" s="78"/>
      <c r="AL139" s="78"/>
      <c r="AM139" s="78"/>
      <c r="AN139" s="76"/>
      <c r="AO139" s="76"/>
      <c r="AP139" s="76"/>
      <c r="AQ139" s="76"/>
      <c r="AR139" s="76"/>
      <c r="AS139" s="76"/>
      <c r="AT139" s="76"/>
      <c r="AU139" s="76"/>
      <c r="AV139" s="76"/>
      <c r="AW139" s="79"/>
      <c r="AX139" s="79"/>
      <c r="AY139" s="79"/>
      <c r="AZ139" s="79"/>
      <c r="BA139" s="79"/>
      <c r="BB139" s="11"/>
      <c r="BC139" s="11"/>
      <c r="BD139" s="11"/>
      <c r="BE139" s="73"/>
      <c r="BF139" s="73"/>
      <c r="BG139" s="73"/>
      <c r="BH139" s="77"/>
      <c r="BI139" s="77"/>
      <c r="BJ139" s="77"/>
      <c r="BK139" s="77"/>
      <c r="BL139" s="77"/>
      <c r="BM139" s="77"/>
      <c r="BN139" s="158"/>
      <c r="BO139" s="158"/>
    </row>
    <row r="140" spans="1:67" ht="15" x14ac:dyDescent="0.25">
      <c r="A140" s="71"/>
      <c r="B140" s="11"/>
      <c r="C140" s="11"/>
      <c r="D140" s="11"/>
      <c r="E140" s="11"/>
      <c r="F140" s="11"/>
      <c r="G140" s="11"/>
      <c r="H140" s="11"/>
      <c r="I140" s="11"/>
      <c r="J140" s="249"/>
      <c r="K140" s="72"/>
      <c r="L140" s="73"/>
      <c r="M140" s="73"/>
      <c r="N140" s="74"/>
      <c r="O140" s="75"/>
      <c r="P140" s="73"/>
      <c r="Q140" s="76"/>
      <c r="R140" s="76"/>
      <c r="S140" s="76"/>
      <c r="T140" s="76"/>
      <c r="U140" s="76"/>
      <c r="V140" s="76"/>
      <c r="W140" s="76"/>
      <c r="X140" s="76"/>
      <c r="Y140" s="76"/>
      <c r="Z140" s="77"/>
      <c r="AA140" s="77"/>
      <c r="AB140" s="77"/>
      <c r="AC140" s="77"/>
      <c r="AD140" s="77"/>
      <c r="AE140" s="77"/>
      <c r="AF140" s="77"/>
      <c r="AG140" s="77"/>
      <c r="AH140" s="78"/>
      <c r="AI140" s="78"/>
      <c r="AJ140" s="78"/>
      <c r="AK140" s="78"/>
      <c r="AL140" s="78"/>
      <c r="AM140" s="78"/>
      <c r="AN140" s="76"/>
      <c r="AO140" s="76"/>
      <c r="AP140" s="76"/>
      <c r="AQ140" s="76"/>
      <c r="AR140" s="76"/>
      <c r="AS140" s="76"/>
      <c r="AT140" s="76"/>
      <c r="AU140" s="76"/>
      <c r="AV140" s="76"/>
      <c r="AW140" s="79"/>
      <c r="AX140" s="79"/>
      <c r="AY140" s="79"/>
      <c r="AZ140" s="79"/>
      <c r="BA140" s="79"/>
      <c r="BB140" s="11"/>
      <c r="BC140" s="11"/>
      <c r="BD140" s="11"/>
      <c r="BE140" s="73"/>
      <c r="BF140" s="73"/>
      <c r="BG140" s="73"/>
      <c r="BH140" s="77"/>
      <c r="BI140" s="77"/>
      <c r="BJ140" s="77"/>
      <c r="BK140" s="77"/>
      <c r="BL140" s="77"/>
      <c r="BM140" s="77"/>
      <c r="BN140" s="158"/>
      <c r="BO140" s="158"/>
    </row>
    <row r="141" spans="1:67" ht="15" x14ac:dyDescent="0.25">
      <c r="A141" s="71"/>
      <c r="B141" s="11"/>
      <c r="C141" s="11"/>
      <c r="D141" s="11"/>
      <c r="E141" s="11"/>
      <c r="F141" s="11"/>
      <c r="G141" s="11"/>
      <c r="H141" s="11"/>
      <c r="I141" s="11"/>
      <c r="J141" s="249"/>
      <c r="K141" s="72"/>
      <c r="L141" s="73"/>
      <c r="M141" s="73"/>
      <c r="N141" s="74"/>
      <c r="O141" s="75"/>
      <c r="P141" s="73"/>
      <c r="Q141" s="76"/>
      <c r="R141" s="76"/>
      <c r="S141" s="76"/>
      <c r="T141" s="76"/>
      <c r="U141" s="76"/>
      <c r="V141" s="76"/>
      <c r="W141" s="76"/>
      <c r="X141" s="76"/>
      <c r="Y141" s="76"/>
      <c r="Z141" s="77"/>
      <c r="AA141" s="77"/>
      <c r="AB141" s="77"/>
      <c r="AC141" s="77"/>
      <c r="AD141" s="77"/>
      <c r="AE141" s="77"/>
      <c r="AF141" s="77"/>
      <c r="AG141" s="77"/>
      <c r="AH141" s="78"/>
      <c r="AI141" s="78"/>
      <c r="AJ141" s="78"/>
      <c r="AK141" s="78"/>
      <c r="AL141" s="78"/>
      <c r="AM141" s="78"/>
      <c r="AN141" s="76"/>
      <c r="AO141" s="76"/>
      <c r="AP141" s="76"/>
      <c r="AQ141" s="76"/>
      <c r="AR141" s="76"/>
      <c r="AS141" s="76"/>
      <c r="AT141" s="76"/>
      <c r="AU141" s="76"/>
      <c r="AV141" s="76"/>
      <c r="AW141" s="79"/>
      <c r="AX141" s="79"/>
      <c r="AY141" s="79"/>
      <c r="AZ141" s="79"/>
      <c r="BA141" s="79"/>
      <c r="BB141" s="11"/>
      <c r="BC141" s="11"/>
      <c r="BD141" s="11"/>
      <c r="BE141" s="73"/>
      <c r="BF141" s="73"/>
      <c r="BG141" s="73"/>
      <c r="BH141" s="77"/>
      <c r="BI141" s="77"/>
      <c r="BJ141" s="77"/>
      <c r="BK141" s="77"/>
      <c r="BL141" s="77"/>
      <c r="BM141" s="77"/>
      <c r="BN141" s="158"/>
      <c r="BO141" s="158"/>
    </row>
    <row r="142" spans="1:67" ht="15" x14ac:dyDescent="0.25">
      <c r="A142" s="71"/>
      <c r="B142" s="11"/>
      <c r="C142" s="11"/>
      <c r="D142" s="11"/>
      <c r="E142" s="11"/>
      <c r="F142" s="11"/>
      <c r="G142" s="11"/>
      <c r="H142" s="11"/>
      <c r="I142" s="11"/>
      <c r="J142" s="249"/>
      <c r="K142" s="72"/>
      <c r="L142" s="73"/>
      <c r="M142" s="73"/>
      <c r="N142" s="74"/>
      <c r="O142" s="75"/>
      <c r="P142" s="73"/>
      <c r="Q142" s="76"/>
      <c r="R142" s="76"/>
      <c r="S142" s="76"/>
      <c r="T142" s="76"/>
      <c r="U142" s="76"/>
      <c r="V142" s="76"/>
      <c r="W142" s="76"/>
      <c r="X142" s="76"/>
      <c r="Y142" s="76"/>
      <c r="Z142" s="77"/>
      <c r="AA142" s="77"/>
      <c r="AB142" s="77"/>
      <c r="AC142" s="77"/>
      <c r="AD142" s="77"/>
      <c r="AE142" s="77"/>
      <c r="AF142" s="77"/>
      <c r="AG142" s="77"/>
      <c r="AH142" s="78"/>
      <c r="AI142" s="78"/>
      <c r="AJ142" s="78"/>
      <c r="AK142" s="78"/>
      <c r="AL142" s="78"/>
      <c r="AM142" s="78"/>
      <c r="AN142" s="76"/>
      <c r="AO142" s="76"/>
      <c r="AP142" s="76"/>
      <c r="AQ142" s="76"/>
      <c r="AR142" s="76"/>
      <c r="AS142" s="76"/>
      <c r="AT142" s="76"/>
      <c r="AU142" s="76"/>
      <c r="AV142" s="76"/>
      <c r="AW142" s="79"/>
      <c r="AX142" s="79"/>
      <c r="AY142" s="79"/>
      <c r="AZ142" s="79"/>
      <c r="BA142" s="79"/>
      <c r="BB142" s="11"/>
      <c r="BC142" s="11"/>
      <c r="BD142" s="11"/>
      <c r="BE142" s="73"/>
      <c r="BF142" s="73"/>
      <c r="BG142" s="73"/>
      <c r="BH142" s="77"/>
      <c r="BI142" s="77"/>
      <c r="BJ142" s="77"/>
      <c r="BK142" s="77"/>
      <c r="BL142" s="77"/>
      <c r="BM142" s="77"/>
      <c r="BN142" s="158"/>
      <c r="BO142" s="158"/>
    </row>
    <row r="143" spans="1:67" ht="15" x14ac:dyDescent="0.25">
      <c r="A143" s="71"/>
      <c r="B143" s="11"/>
      <c r="C143" s="11"/>
      <c r="D143" s="11"/>
      <c r="E143" s="11"/>
      <c r="F143" s="11"/>
      <c r="G143" s="11"/>
      <c r="H143" s="11"/>
      <c r="I143" s="11"/>
      <c r="J143" s="249"/>
      <c r="K143" s="72"/>
      <c r="L143" s="73"/>
      <c r="M143" s="73"/>
      <c r="N143" s="74"/>
      <c r="O143" s="75"/>
      <c r="P143" s="73"/>
      <c r="Q143" s="76"/>
      <c r="R143" s="76"/>
      <c r="S143" s="76"/>
      <c r="T143" s="76"/>
      <c r="U143" s="76"/>
      <c r="V143" s="76"/>
      <c r="W143" s="76"/>
      <c r="X143" s="76"/>
      <c r="Y143" s="76"/>
      <c r="Z143" s="77"/>
      <c r="AA143" s="77"/>
      <c r="AB143" s="77"/>
      <c r="AC143" s="77"/>
      <c r="AD143" s="77"/>
      <c r="AE143" s="77"/>
      <c r="AF143" s="77"/>
      <c r="AG143" s="77"/>
      <c r="AH143" s="78"/>
      <c r="AI143" s="78"/>
      <c r="AJ143" s="78"/>
      <c r="AK143" s="78"/>
      <c r="AL143" s="78"/>
      <c r="AM143" s="78"/>
      <c r="AN143" s="76"/>
      <c r="AO143" s="76"/>
      <c r="AP143" s="76"/>
      <c r="AQ143" s="76"/>
      <c r="AR143" s="76"/>
      <c r="AS143" s="76"/>
      <c r="AT143" s="76"/>
      <c r="AU143" s="76"/>
      <c r="AV143" s="76"/>
      <c r="AW143" s="79"/>
      <c r="AX143" s="79"/>
      <c r="AY143" s="79"/>
      <c r="AZ143" s="79"/>
      <c r="BA143" s="79"/>
      <c r="BB143" s="11"/>
      <c r="BC143" s="11"/>
      <c r="BD143" s="11"/>
      <c r="BE143" s="73"/>
      <c r="BF143" s="73"/>
      <c r="BG143" s="73"/>
      <c r="BH143" s="77"/>
      <c r="BI143" s="77"/>
      <c r="BJ143" s="77"/>
      <c r="BK143" s="77"/>
      <c r="BL143" s="77"/>
      <c r="BM143" s="77"/>
      <c r="BN143" s="158"/>
      <c r="BO143" s="158"/>
    </row>
    <row r="144" spans="1:67" ht="15" x14ac:dyDescent="0.25">
      <c r="A144" s="71"/>
      <c r="B144" s="11"/>
      <c r="C144" s="11"/>
      <c r="D144" s="11"/>
      <c r="E144" s="11"/>
      <c r="F144" s="11"/>
      <c r="G144" s="11"/>
      <c r="H144" s="11"/>
      <c r="I144" s="11"/>
      <c r="J144" s="249"/>
      <c r="K144" s="72"/>
      <c r="L144" s="73"/>
      <c r="M144" s="73"/>
      <c r="N144" s="74"/>
      <c r="O144" s="75"/>
      <c r="P144" s="73"/>
      <c r="Q144" s="76"/>
      <c r="R144" s="76"/>
      <c r="S144" s="76"/>
      <c r="T144" s="76"/>
      <c r="U144" s="76"/>
      <c r="V144" s="76"/>
      <c r="W144" s="76"/>
      <c r="X144" s="76"/>
      <c r="Y144" s="76"/>
      <c r="Z144" s="77"/>
      <c r="AA144" s="77"/>
      <c r="AB144" s="77"/>
      <c r="AC144" s="77"/>
      <c r="AD144" s="77"/>
      <c r="AE144" s="77"/>
      <c r="AF144" s="77"/>
      <c r="AG144" s="77"/>
      <c r="AH144" s="78"/>
      <c r="AI144" s="78"/>
      <c r="AJ144" s="78"/>
      <c r="AK144" s="78"/>
      <c r="AL144" s="78"/>
      <c r="AM144" s="78"/>
      <c r="AN144" s="76"/>
      <c r="AO144" s="76"/>
      <c r="AP144" s="76"/>
      <c r="AQ144" s="76"/>
      <c r="AR144" s="76"/>
      <c r="AS144" s="76"/>
      <c r="AT144" s="76"/>
      <c r="AU144" s="76"/>
      <c r="AV144" s="76"/>
      <c r="AW144" s="79"/>
      <c r="AX144" s="79"/>
      <c r="AY144" s="79"/>
      <c r="AZ144" s="79"/>
      <c r="BA144" s="79"/>
      <c r="BB144" s="11"/>
      <c r="BC144" s="11"/>
      <c r="BD144" s="11"/>
      <c r="BE144" s="73"/>
      <c r="BF144" s="73"/>
      <c r="BG144" s="73"/>
      <c r="BH144" s="77"/>
      <c r="BI144" s="77"/>
      <c r="BJ144" s="77"/>
      <c r="BK144" s="77"/>
      <c r="BL144" s="77"/>
      <c r="BM144" s="77"/>
      <c r="BN144" s="158"/>
      <c r="BO144" s="158"/>
    </row>
    <row r="145" spans="1:67" ht="15" x14ac:dyDescent="0.25">
      <c r="A145" s="71"/>
      <c r="B145" s="11"/>
      <c r="C145" s="11"/>
      <c r="D145" s="11"/>
      <c r="E145" s="11"/>
      <c r="F145" s="11"/>
      <c r="G145" s="11"/>
      <c r="H145" s="11"/>
      <c r="I145" s="11"/>
      <c r="J145" s="249"/>
      <c r="K145" s="72"/>
      <c r="L145" s="73"/>
      <c r="M145" s="73"/>
      <c r="N145" s="74"/>
      <c r="O145" s="75"/>
      <c r="P145" s="73"/>
      <c r="Q145" s="76"/>
      <c r="R145" s="76"/>
      <c r="S145" s="76"/>
      <c r="T145" s="76"/>
      <c r="U145" s="76"/>
      <c r="V145" s="76"/>
      <c r="W145" s="76"/>
      <c r="X145" s="76"/>
      <c r="Y145" s="76"/>
      <c r="Z145" s="77"/>
      <c r="AA145" s="77"/>
      <c r="AB145" s="77"/>
      <c r="AC145" s="77"/>
      <c r="AD145" s="77"/>
      <c r="AE145" s="77"/>
      <c r="AF145" s="77"/>
      <c r="AG145" s="77"/>
      <c r="AH145" s="78"/>
      <c r="AI145" s="78"/>
      <c r="AJ145" s="78"/>
      <c r="AK145" s="78"/>
      <c r="AL145" s="78"/>
      <c r="AM145" s="78"/>
      <c r="AN145" s="76"/>
      <c r="AO145" s="76"/>
      <c r="AP145" s="76"/>
      <c r="AQ145" s="76"/>
      <c r="AR145" s="76"/>
      <c r="AS145" s="76"/>
      <c r="AT145" s="76"/>
      <c r="AU145" s="76"/>
      <c r="AV145" s="76"/>
      <c r="AW145" s="79"/>
      <c r="AX145" s="79"/>
      <c r="AY145" s="79"/>
      <c r="AZ145" s="79"/>
      <c r="BA145" s="79"/>
      <c r="BB145" s="11"/>
      <c r="BC145" s="11"/>
      <c r="BD145" s="11"/>
      <c r="BE145" s="73"/>
      <c r="BF145" s="73"/>
      <c r="BG145" s="73"/>
      <c r="BH145" s="77"/>
      <c r="BI145" s="77"/>
      <c r="BJ145" s="77"/>
      <c r="BK145" s="77"/>
      <c r="BL145" s="77"/>
      <c r="BM145" s="77"/>
      <c r="BN145" s="158"/>
      <c r="BO145" s="158"/>
    </row>
    <row r="146" spans="1:67" ht="15" x14ac:dyDescent="0.25">
      <c r="A146" s="71"/>
      <c r="B146" s="11"/>
      <c r="C146" s="11"/>
      <c r="D146" s="11"/>
      <c r="E146" s="11"/>
      <c r="F146" s="11"/>
      <c r="G146" s="11"/>
      <c r="H146" s="11"/>
      <c r="I146" s="11"/>
      <c r="J146" s="249"/>
      <c r="K146" s="72"/>
      <c r="L146" s="73"/>
      <c r="M146" s="73"/>
      <c r="N146" s="74"/>
      <c r="O146" s="75"/>
      <c r="P146" s="73"/>
      <c r="Q146" s="76"/>
      <c r="R146" s="76"/>
      <c r="S146" s="76"/>
      <c r="T146" s="76"/>
      <c r="U146" s="76"/>
      <c r="V146" s="76"/>
      <c r="W146" s="76"/>
      <c r="X146" s="76"/>
      <c r="Y146" s="76"/>
      <c r="Z146" s="77"/>
      <c r="AA146" s="77"/>
      <c r="AB146" s="77"/>
      <c r="AC146" s="77"/>
      <c r="AD146" s="77"/>
      <c r="AE146" s="77"/>
      <c r="AF146" s="77"/>
      <c r="AG146" s="77"/>
      <c r="AH146" s="78"/>
      <c r="AI146" s="78"/>
      <c r="AJ146" s="78"/>
      <c r="AK146" s="78"/>
      <c r="AL146" s="78"/>
      <c r="AM146" s="78"/>
      <c r="AN146" s="76"/>
      <c r="AO146" s="76"/>
      <c r="AP146" s="76"/>
      <c r="AQ146" s="76"/>
      <c r="AR146" s="76"/>
      <c r="AS146" s="76"/>
      <c r="AT146" s="76"/>
      <c r="AU146" s="76"/>
      <c r="AV146" s="76"/>
      <c r="AW146" s="79"/>
      <c r="AX146" s="79"/>
      <c r="AY146" s="79"/>
      <c r="AZ146" s="79"/>
      <c r="BA146" s="79"/>
      <c r="BB146" s="11"/>
      <c r="BC146" s="11"/>
      <c r="BD146" s="11"/>
      <c r="BE146" s="73"/>
      <c r="BF146" s="73"/>
      <c r="BG146" s="73"/>
      <c r="BH146" s="77"/>
      <c r="BI146" s="77"/>
      <c r="BJ146" s="77"/>
      <c r="BK146" s="77"/>
      <c r="BL146" s="77"/>
      <c r="BM146" s="77"/>
      <c r="BN146" s="158"/>
      <c r="BO146" s="158"/>
    </row>
    <row r="147" spans="1:67" ht="15" x14ac:dyDescent="0.25">
      <c r="A147" s="71"/>
      <c r="B147" s="11"/>
      <c r="C147" s="11"/>
      <c r="D147" s="11"/>
      <c r="E147" s="11"/>
      <c r="F147" s="11"/>
      <c r="G147" s="11"/>
      <c r="H147" s="11"/>
      <c r="I147" s="11"/>
      <c r="J147" s="249"/>
      <c r="K147" s="72"/>
      <c r="L147" s="73"/>
      <c r="M147" s="73"/>
      <c r="N147" s="74"/>
      <c r="O147" s="75"/>
      <c r="P147" s="73"/>
      <c r="Q147" s="76"/>
      <c r="R147" s="76"/>
      <c r="S147" s="76"/>
      <c r="T147" s="76"/>
      <c r="U147" s="76"/>
      <c r="V147" s="76"/>
      <c r="W147" s="76"/>
      <c r="X147" s="76"/>
      <c r="Y147" s="76"/>
      <c r="Z147" s="77"/>
      <c r="AA147" s="77"/>
      <c r="AB147" s="77"/>
      <c r="AC147" s="77"/>
      <c r="AD147" s="77"/>
      <c r="AE147" s="77"/>
      <c r="AF147" s="77"/>
      <c r="AG147" s="77"/>
      <c r="AH147" s="78"/>
      <c r="AI147" s="78"/>
      <c r="AJ147" s="78"/>
      <c r="AK147" s="78"/>
      <c r="AL147" s="78"/>
      <c r="AM147" s="78"/>
      <c r="AN147" s="76"/>
      <c r="AO147" s="76"/>
      <c r="AP147" s="76"/>
      <c r="AQ147" s="76"/>
      <c r="AR147" s="76"/>
      <c r="AS147" s="76"/>
      <c r="AT147" s="76"/>
      <c r="AU147" s="76"/>
      <c r="AV147" s="76"/>
      <c r="AW147" s="79"/>
      <c r="AX147" s="79"/>
      <c r="AY147" s="79"/>
      <c r="AZ147" s="79"/>
      <c r="BA147" s="79"/>
      <c r="BB147" s="11"/>
      <c r="BC147" s="11"/>
      <c r="BD147" s="11"/>
      <c r="BE147" s="73"/>
      <c r="BF147" s="73"/>
      <c r="BG147" s="73"/>
      <c r="BH147" s="77"/>
      <c r="BI147" s="77"/>
      <c r="BJ147" s="77"/>
      <c r="BK147" s="77"/>
      <c r="BL147" s="77"/>
      <c r="BM147" s="77"/>
      <c r="BN147" s="158"/>
      <c r="BO147" s="158"/>
    </row>
    <row r="148" spans="1:67" ht="15" x14ac:dyDescent="0.25">
      <c r="A148" s="71"/>
      <c r="B148" s="11"/>
      <c r="C148" s="11"/>
      <c r="D148" s="11"/>
      <c r="E148" s="11"/>
      <c r="F148" s="11"/>
      <c r="G148" s="11"/>
      <c r="H148" s="11"/>
      <c r="I148" s="11"/>
      <c r="J148" s="249"/>
      <c r="K148" s="72"/>
      <c r="L148" s="73"/>
      <c r="M148" s="73"/>
      <c r="N148" s="74"/>
      <c r="O148" s="75"/>
      <c r="P148" s="73"/>
      <c r="Q148" s="76"/>
      <c r="R148" s="76"/>
      <c r="S148" s="76"/>
      <c r="T148" s="76"/>
      <c r="U148" s="76"/>
      <c r="V148" s="76"/>
      <c r="W148" s="76"/>
      <c r="X148" s="76"/>
      <c r="Y148" s="76"/>
      <c r="Z148" s="77"/>
      <c r="AA148" s="77"/>
      <c r="AB148" s="77"/>
      <c r="AC148" s="77"/>
      <c r="AD148" s="77"/>
      <c r="AE148" s="77"/>
      <c r="AF148" s="77"/>
      <c r="AG148" s="77"/>
      <c r="AH148" s="78"/>
      <c r="AI148" s="78"/>
      <c r="AJ148" s="78"/>
      <c r="AK148" s="78"/>
      <c r="AL148" s="78"/>
      <c r="AM148" s="78"/>
      <c r="AN148" s="76"/>
      <c r="AO148" s="76"/>
      <c r="AP148" s="76"/>
      <c r="AQ148" s="76"/>
      <c r="AR148" s="76"/>
      <c r="AS148" s="76"/>
      <c r="AT148" s="76"/>
      <c r="AU148" s="76"/>
      <c r="AV148" s="76"/>
      <c r="AW148" s="79"/>
      <c r="AX148" s="79"/>
      <c r="AY148" s="79"/>
      <c r="AZ148" s="79"/>
      <c r="BA148" s="79"/>
      <c r="BB148" s="11"/>
      <c r="BC148" s="11"/>
      <c r="BD148" s="11"/>
      <c r="BE148" s="73"/>
      <c r="BF148" s="73"/>
      <c r="BG148" s="73"/>
      <c r="BH148" s="77"/>
      <c r="BI148" s="77"/>
      <c r="BJ148" s="77"/>
      <c r="BK148" s="77"/>
      <c r="BL148" s="77"/>
      <c r="BM148" s="77"/>
      <c r="BN148" s="158"/>
      <c r="BO148" s="158"/>
    </row>
    <row r="149" spans="1:67" ht="15" x14ac:dyDescent="0.25">
      <c r="A149" s="71"/>
      <c r="B149" s="11"/>
      <c r="C149" s="11"/>
      <c r="D149" s="11"/>
      <c r="E149" s="11"/>
      <c r="F149" s="11"/>
      <c r="G149" s="11"/>
      <c r="H149" s="11"/>
      <c r="I149" s="11"/>
      <c r="J149" s="249"/>
      <c r="K149" s="72"/>
      <c r="L149" s="73"/>
      <c r="M149" s="73"/>
      <c r="N149" s="74"/>
      <c r="O149" s="75"/>
      <c r="P149" s="73"/>
      <c r="Q149" s="76"/>
      <c r="R149" s="76"/>
      <c r="S149" s="76"/>
      <c r="T149" s="76"/>
      <c r="U149" s="76"/>
      <c r="V149" s="76"/>
      <c r="W149" s="76"/>
      <c r="X149" s="76"/>
      <c r="Y149" s="76"/>
      <c r="Z149" s="77"/>
      <c r="AA149" s="77"/>
      <c r="AB149" s="77"/>
      <c r="AC149" s="77"/>
      <c r="AD149" s="77"/>
      <c r="AE149" s="77"/>
      <c r="AF149" s="77"/>
      <c r="AG149" s="77"/>
      <c r="AH149" s="78"/>
      <c r="AI149" s="78"/>
      <c r="AJ149" s="78"/>
      <c r="AK149" s="78"/>
      <c r="AL149" s="78"/>
      <c r="AM149" s="78"/>
      <c r="AN149" s="76"/>
      <c r="AO149" s="76"/>
      <c r="AP149" s="76"/>
      <c r="AQ149" s="76"/>
      <c r="AR149" s="76"/>
      <c r="AS149" s="76"/>
      <c r="AT149" s="76"/>
      <c r="AU149" s="76"/>
      <c r="AV149" s="76"/>
      <c r="AW149" s="79"/>
      <c r="AX149" s="79"/>
      <c r="AY149" s="79"/>
      <c r="AZ149" s="79"/>
      <c r="BA149" s="79"/>
      <c r="BB149" s="11"/>
      <c r="BC149" s="11"/>
      <c r="BD149" s="11"/>
      <c r="BE149" s="73"/>
      <c r="BF149" s="73"/>
      <c r="BG149" s="73"/>
      <c r="BH149" s="77"/>
      <c r="BI149" s="77"/>
      <c r="BJ149" s="77"/>
      <c r="BK149" s="77"/>
      <c r="BL149" s="77"/>
      <c r="BM149" s="77"/>
      <c r="BN149" s="158"/>
      <c r="BO149" s="158"/>
    </row>
    <row r="150" spans="1:67" ht="15" x14ac:dyDescent="0.25">
      <c r="A150" s="71"/>
      <c r="B150" s="11"/>
      <c r="C150" s="11"/>
      <c r="D150" s="11"/>
      <c r="E150" s="11"/>
      <c r="F150" s="11"/>
      <c r="G150" s="11"/>
      <c r="H150" s="11"/>
      <c r="I150" s="11"/>
      <c r="J150" s="249"/>
      <c r="K150" s="72"/>
      <c r="L150" s="73"/>
      <c r="M150" s="73"/>
      <c r="N150" s="74"/>
      <c r="O150" s="75"/>
      <c r="P150" s="73"/>
      <c r="Q150" s="76"/>
      <c r="R150" s="76"/>
      <c r="S150" s="76"/>
      <c r="T150" s="76"/>
      <c r="U150" s="76"/>
      <c r="V150" s="76"/>
      <c r="W150" s="76"/>
      <c r="X150" s="76"/>
      <c r="Y150" s="76"/>
      <c r="Z150" s="77"/>
      <c r="AA150" s="77"/>
      <c r="AB150" s="77"/>
      <c r="AC150" s="77"/>
      <c r="AD150" s="77"/>
      <c r="AE150" s="77"/>
      <c r="AF150" s="77"/>
      <c r="AG150" s="77"/>
      <c r="AH150" s="78"/>
      <c r="AI150" s="78"/>
      <c r="AJ150" s="78"/>
      <c r="AK150" s="78"/>
      <c r="AL150" s="78"/>
      <c r="AM150" s="78"/>
      <c r="AN150" s="76"/>
      <c r="AO150" s="76"/>
      <c r="AP150" s="76"/>
      <c r="AQ150" s="76"/>
      <c r="AR150" s="76"/>
      <c r="AS150" s="76"/>
      <c r="AT150" s="76"/>
      <c r="AU150" s="76"/>
      <c r="AV150" s="76"/>
      <c r="AW150" s="79"/>
      <c r="AX150" s="79"/>
      <c r="AY150" s="79"/>
      <c r="AZ150" s="79"/>
      <c r="BA150" s="79"/>
      <c r="BB150" s="11"/>
      <c r="BC150" s="11"/>
      <c r="BD150" s="11"/>
      <c r="BE150" s="73"/>
      <c r="BF150" s="73"/>
      <c r="BG150" s="73"/>
      <c r="BH150" s="77"/>
      <c r="BI150" s="77"/>
      <c r="BJ150" s="77"/>
      <c r="BK150" s="77"/>
      <c r="BL150" s="77"/>
      <c r="BM150" s="77"/>
      <c r="BN150" s="158"/>
      <c r="BO150" s="158"/>
    </row>
    <row r="151" spans="1:67" ht="15" x14ac:dyDescent="0.25">
      <c r="A151" s="71"/>
      <c r="B151" s="11"/>
      <c r="C151" s="11"/>
      <c r="D151" s="11"/>
      <c r="E151" s="11"/>
      <c r="F151" s="11"/>
      <c r="G151" s="11"/>
      <c r="H151" s="11"/>
      <c r="I151" s="11"/>
      <c r="J151" s="249"/>
      <c r="K151" s="72"/>
      <c r="L151" s="73"/>
      <c r="M151" s="73"/>
      <c r="N151" s="74"/>
      <c r="O151" s="75"/>
      <c r="P151" s="73"/>
      <c r="Q151" s="76"/>
      <c r="R151" s="76"/>
      <c r="S151" s="76"/>
      <c r="T151" s="76"/>
      <c r="U151" s="76"/>
      <c r="V151" s="76"/>
      <c r="W151" s="76"/>
      <c r="X151" s="76"/>
      <c r="Y151" s="76"/>
      <c r="Z151" s="77"/>
      <c r="AA151" s="77"/>
      <c r="AB151" s="77"/>
      <c r="AC151" s="77"/>
      <c r="AD151" s="77"/>
      <c r="AE151" s="77"/>
      <c r="AF151" s="77"/>
      <c r="AG151" s="77"/>
      <c r="AH151" s="78"/>
      <c r="AI151" s="78"/>
      <c r="AJ151" s="78"/>
      <c r="AK151" s="78"/>
      <c r="AL151" s="78"/>
      <c r="AM151" s="78"/>
      <c r="AN151" s="76"/>
      <c r="AO151" s="76"/>
      <c r="AP151" s="76"/>
      <c r="AQ151" s="76"/>
      <c r="AR151" s="76"/>
      <c r="AS151" s="76"/>
      <c r="AT151" s="76"/>
      <c r="AU151" s="76"/>
      <c r="AV151" s="76"/>
      <c r="AW151" s="79"/>
      <c r="AX151" s="79"/>
      <c r="AY151" s="79"/>
      <c r="AZ151" s="79"/>
      <c r="BA151" s="79"/>
      <c r="BB151" s="11"/>
      <c r="BC151" s="11"/>
      <c r="BD151" s="11"/>
      <c r="BE151" s="73"/>
      <c r="BF151" s="73"/>
      <c r="BG151" s="73"/>
      <c r="BH151" s="77"/>
      <c r="BI151" s="77"/>
      <c r="BJ151" s="77"/>
      <c r="BK151" s="77"/>
      <c r="BL151" s="77"/>
      <c r="BM151" s="77"/>
      <c r="BN151" s="158"/>
      <c r="BO151" s="158"/>
    </row>
    <row r="152" spans="1:67" ht="15" x14ac:dyDescent="0.25">
      <c r="A152" s="71"/>
      <c r="B152" s="11"/>
      <c r="C152" s="11"/>
      <c r="D152" s="11"/>
      <c r="E152" s="11"/>
      <c r="F152" s="11"/>
      <c r="G152" s="11"/>
      <c r="H152" s="11"/>
      <c r="I152" s="11"/>
      <c r="J152" s="249"/>
      <c r="K152" s="72"/>
      <c r="L152" s="73"/>
      <c r="M152" s="73"/>
      <c r="N152" s="74"/>
      <c r="O152" s="75"/>
      <c r="P152" s="73"/>
      <c r="Q152" s="76"/>
      <c r="R152" s="76"/>
      <c r="S152" s="76"/>
      <c r="T152" s="76"/>
      <c r="U152" s="76"/>
      <c r="V152" s="76"/>
      <c r="W152" s="76"/>
      <c r="X152" s="76"/>
      <c r="Y152" s="76"/>
      <c r="Z152" s="77"/>
      <c r="AA152" s="77"/>
      <c r="AB152" s="77"/>
      <c r="AC152" s="77"/>
      <c r="AD152" s="77"/>
      <c r="AE152" s="77"/>
      <c r="AF152" s="77"/>
      <c r="AG152" s="77"/>
      <c r="AH152" s="78"/>
      <c r="AI152" s="78"/>
      <c r="AJ152" s="78"/>
      <c r="AK152" s="78"/>
      <c r="AL152" s="78"/>
      <c r="AM152" s="78"/>
      <c r="AN152" s="76"/>
      <c r="AO152" s="76"/>
      <c r="AP152" s="76"/>
      <c r="AQ152" s="76"/>
      <c r="AR152" s="76"/>
      <c r="AS152" s="76"/>
      <c r="AT152" s="76"/>
      <c r="AU152" s="76"/>
      <c r="AV152" s="76"/>
      <c r="AW152" s="79"/>
      <c r="AX152" s="79"/>
      <c r="AY152" s="79"/>
      <c r="AZ152" s="79"/>
      <c r="BA152" s="79"/>
      <c r="BB152" s="11"/>
      <c r="BC152" s="11"/>
      <c r="BD152" s="11"/>
      <c r="BE152" s="73"/>
      <c r="BF152" s="73"/>
      <c r="BG152" s="73"/>
      <c r="BH152" s="77"/>
      <c r="BI152" s="77"/>
      <c r="BJ152" s="77"/>
      <c r="BK152" s="77"/>
      <c r="BL152" s="77"/>
      <c r="BM152" s="77"/>
      <c r="BN152" s="158"/>
      <c r="BO152" s="158"/>
    </row>
    <row r="153" spans="1:67" ht="15" x14ac:dyDescent="0.25">
      <c r="A153" s="71"/>
      <c r="B153" s="11"/>
      <c r="C153" s="11"/>
      <c r="D153" s="11"/>
      <c r="E153" s="11"/>
      <c r="F153" s="11"/>
      <c r="G153" s="11"/>
      <c r="H153" s="11"/>
      <c r="I153" s="11"/>
      <c r="J153" s="249"/>
      <c r="K153" s="72"/>
      <c r="L153" s="73"/>
      <c r="M153" s="73"/>
      <c r="N153" s="74"/>
      <c r="O153" s="75"/>
      <c r="P153" s="73"/>
      <c r="Q153" s="76"/>
      <c r="R153" s="76"/>
      <c r="S153" s="76"/>
      <c r="T153" s="76"/>
      <c r="U153" s="76"/>
      <c r="V153" s="76"/>
      <c r="W153" s="76"/>
      <c r="X153" s="76"/>
      <c r="Y153" s="76"/>
      <c r="Z153" s="77"/>
      <c r="AA153" s="77"/>
      <c r="AB153" s="77"/>
      <c r="AC153" s="77"/>
      <c r="AD153" s="77"/>
      <c r="AE153" s="77"/>
      <c r="AF153" s="77"/>
      <c r="AG153" s="77"/>
      <c r="AH153" s="78"/>
      <c r="AI153" s="78"/>
      <c r="AJ153" s="78"/>
      <c r="AK153" s="78"/>
      <c r="AL153" s="78"/>
      <c r="AM153" s="78"/>
      <c r="AN153" s="76"/>
      <c r="AO153" s="76"/>
      <c r="AP153" s="76"/>
      <c r="AQ153" s="76"/>
      <c r="AR153" s="76"/>
      <c r="AS153" s="76"/>
      <c r="AT153" s="76"/>
      <c r="AU153" s="76"/>
      <c r="AV153" s="76"/>
      <c r="AW153" s="79"/>
      <c r="AX153" s="79"/>
      <c r="AY153" s="79"/>
      <c r="AZ153" s="79"/>
      <c r="BA153" s="79"/>
      <c r="BB153" s="11"/>
      <c r="BC153" s="11"/>
      <c r="BD153" s="11"/>
      <c r="BE153" s="73"/>
      <c r="BF153" s="73"/>
      <c r="BG153" s="73"/>
      <c r="BH153" s="77"/>
      <c r="BI153" s="77"/>
      <c r="BJ153" s="77"/>
      <c r="BK153" s="77"/>
      <c r="BL153" s="77"/>
      <c r="BM153" s="77"/>
      <c r="BN153" s="158"/>
      <c r="BO153" s="158"/>
    </row>
    <row r="154" spans="1:67" ht="15" x14ac:dyDescent="0.25">
      <c r="A154" s="71"/>
      <c r="B154" s="11"/>
      <c r="C154" s="11"/>
      <c r="D154" s="11"/>
      <c r="E154" s="11"/>
      <c r="F154" s="11"/>
      <c r="G154" s="11"/>
      <c r="H154" s="11"/>
      <c r="I154" s="11"/>
      <c r="J154" s="249"/>
      <c r="K154" s="72"/>
      <c r="L154" s="73"/>
      <c r="M154" s="73"/>
      <c r="N154" s="74"/>
      <c r="O154" s="75"/>
      <c r="P154" s="73"/>
      <c r="Q154" s="76"/>
      <c r="R154" s="76"/>
      <c r="S154" s="76"/>
      <c r="T154" s="76"/>
      <c r="U154" s="76"/>
      <c r="V154" s="76"/>
      <c r="W154" s="76"/>
      <c r="X154" s="76"/>
      <c r="Y154" s="76"/>
      <c r="Z154" s="77"/>
      <c r="AA154" s="77"/>
      <c r="AB154" s="77"/>
      <c r="AC154" s="77"/>
      <c r="AD154" s="77"/>
      <c r="AE154" s="77"/>
      <c r="AF154" s="77"/>
      <c r="AG154" s="77"/>
      <c r="AH154" s="78"/>
      <c r="AI154" s="78"/>
      <c r="AJ154" s="78"/>
      <c r="AK154" s="78"/>
      <c r="AL154" s="78"/>
      <c r="AM154" s="78"/>
      <c r="AN154" s="76"/>
      <c r="AO154" s="76"/>
      <c r="AP154" s="76"/>
      <c r="AQ154" s="76"/>
      <c r="AR154" s="76"/>
      <c r="AS154" s="76"/>
      <c r="AT154" s="76"/>
      <c r="AU154" s="76"/>
      <c r="AV154" s="76"/>
      <c r="AW154" s="79"/>
      <c r="AX154" s="79"/>
      <c r="AY154" s="79"/>
      <c r="AZ154" s="79"/>
      <c r="BA154" s="79"/>
      <c r="BB154" s="11"/>
      <c r="BC154" s="11"/>
      <c r="BD154" s="11"/>
      <c r="BE154" s="73"/>
      <c r="BF154" s="73"/>
      <c r="BG154" s="73"/>
      <c r="BH154" s="77"/>
      <c r="BI154" s="77"/>
      <c r="BJ154" s="77"/>
      <c r="BK154" s="77"/>
      <c r="BL154" s="77"/>
      <c r="BM154" s="77"/>
      <c r="BN154" s="158"/>
      <c r="BO154" s="158"/>
    </row>
    <row r="155" spans="1:67" ht="15" x14ac:dyDescent="0.25">
      <c r="A155" s="71"/>
      <c r="B155" s="11"/>
      <c r="C155" s="11"/>
      <c r="D155" s="11"/>
      <c r="E155" s="11"/>
      <c r="F155" s="11"/>
      <c r="G155" s="11"/>
      <c r="H155" s="11"/>
      <c r="I155" s="11"/>
      <c r="J155" s="249"/>
      <c r="K155" s="72"/>
      <c r="L155" s="73"/>
      <c r="M155" s="73"/>
      <c r="N155" s="74"/>
      <c r="O155" s="75"/>
      <c r="P155" s="73"/>
      <c r="Q155" s="76"/>
      <c r="R155" s="76"/>
      <c r="S155" s="76"/>
      <c r="T155" s="76"/>
      <c r="U155" s="76"/>
      <c r="V155" s="76"/>
      <c r="W155" s="76"/>
      <c r="X155" s="76"/>
      <c r="Y155" s="76"/>
      <c r="Z155" s="77"/>
      <c r="AA155" s="77"/>
      <c r="AB155" s="77"/>
      <c r="AC155" s="77"/>
      <c r="AD155" s="77"/>
      <c r="AE155" s="77"/>
      <c r="AF155" s="77"/>
      <c r="AG155" s="77"/>
      <c r="AH155" s="78"/>
      <c r="AI155" s="78"/>
      <c r="AJ155" s="78"/>
      <c r="AK155" s="78"/>
      <c r="AL155" s="78"/>
      <c r="AM155" s="78"/>
      <c r="AN155" s="76"/>
      <c r="AO155" s="76"/>
      <c r="AP155" s="76"/>
      <c r="AQ155" s="76"/>
      <c r="AR155" s="76"/>
      <c r="AS155" s="76"/>
      <c r="AT155" s="76"/>
      <c r="AU155" s="76"/>
      <c r="AV155" s="76"/>
      <c r="AW155" s="79"/>
      <c r="AX155" s="79"/>
      <c r="AY155" s="79"/>
      <c r="AZ155" s="79"/>
      <c r="BA155" s="79"/>
      <c r="BB155" s="11"/>
      <c r="BC155" s="11"/>
      <c r="BD155" s="11"/>
      <c r="BE155" s="73"/>
      <c r="BF155" s="73"/>
      <c r="BG155" s="73"/>
      <c r="BH155" s="77"/>
      <c r="BI155" s="77"/>
      <c r="BJ155" s="77"/>
      <c r="BK155" s="77"/>
      <c r="BL155" s="77"/>
      <c r="BM155" s="77"/>
      <c r="BN155" s="158"/>
      <c r="BO155" s="158"/>
    </row>
    <row r="156" spans="1:67" ht="15" x14ac:dyDescent="0.25">
      <c r="A156" s="71"/>
      <c r="B156" s="11"/>
      <c r="C156" s="11"/>
      <c r="D156" s="11"/>
      <c r="E156" s="11"/>
      <c r="F156" s="11"/>
      <c r="G156" s="11"/>
      <c r="H156" s="11"/>
      <c r="I156" s="11"/>
      <c r="J156" s="249"/>
      <c r="K156" s="72"/>
      <c r="L156" s="73"/>
      <c r="M156" s="73"/>
      <c r="N156" s="74"/>
      <c r="O156" s="75"/>
      <c r="P156" s="73"/>
      <c r="Q156" s="76"/>
      <c r="R156" s="76"/>
      <c r="S156" s="76"/>
      <c r="T156" s="76"/>
      <c r="U156" s="76"/>
      <c r="V156" s="76"/>
      <c r="W156" s="76"/>
      <c r="X156" s="76"/>
      <c r="Y156" s="76"/>
      <c r="Z156" s="77"/>
      <c r="AA156" s="77"/>
      <c r="AB156" s="77"/>
      <c r="AC156" s="77"/>
      <c r="AD156" s="77"/>
      <c r="AE156" s="77"/>
      <c r="AF156" s="77"/>
      <c r="AG156" s="77"/>
      <c r="AH156" s="78"/>
      <c r="AI156" s="78"/>
      <c r="AJ156" s="78"/>
      <c r="AK156" s="78"/>
      <c r="AL156" s="78"/>
      <c r="AM156" s="78"/>
      <c r="AN156" s="76"/>
      <c r="AO156" s="76"/>
      <c r="AP156" s="76"/>
      <c r="AQ156" s="76"/>
      <c r="AR156" s="76"/>
      <c r="AS156" s="76"/>
      <c r="AT156" s="76"/>
      <c r="AU156" s="76"/>
      <c r="AV156" s="76"/>
      <c r="AW156" s="79"/>
      <c r="AX156" s="79"/>
      <c r="AY156" s="79"/>
      <c r="AZ156" s="79"/>
      <c r="BA156" s="79"/>
      <c r="BB156" s="11"/>
      <c r="BC156" s="11"/>
      <c r="BD156" s="11"/>
      <c r="BE156" s="73"/>
      <c r="BF156" s="73"/>
      <c r="BG156" s="73"/>
      <c r="BH156" s="77"/>
      <c r="BI156" s="77"/>
      <c r="BJ156" s="77"/>
      <c r="BK156" s="77"/>
      <c r="BL156" s="77"/>
      <c r="BM156" s="77"/>
      <c r="BN156" s="158"/>
      <c r="BO156" s="158"/>
    </row>
    <row r="157" spans="1:67" ht="15" x14ac:dyDescent="0.25">
      <c r="A157" s="71"/>
      <c r="B157" s="11"/>
      <c r="C157" s="11"/>
      <c r="D157" s="11"/>
      <c r="E157" s="11"/>
      <c r="F157" s="11"/>
      <c r="G157" s="11"/>
      <c r="H157" s="11"/>
      <c r="I157" s="11"/>
      <c r="J157" s="249"/>
      <c r="K157" s="72"/>
      <c r="L157" s="73"/>
      <c r="M157" s="73"/>
      <c r="N157" s="74"/>
      <c r="O157" s="75"/>
      <c r="P157" s="73"/>
      <c r="Q157" s="76"/>
      <c r="R157" s="76"/>
      <c r="S157" s="76"/>
      <c r="T157" s="76"/>
      <c r="U157" s="76"/>
      <c r="V157" s="76"/>
      <c r="W157" s="76"/>
      <c r="X157" s="76"/>
      <c r="Y157" s="76"/>
      <c r="Z157" s="77"/>
      <c r="AA157" s="77"/>
      <c r="AB157" s="77"/>
      <c r="AC157" s="77"/>
      <c r="AD157" s="77"/>
      <c r="AE157" s="77"/>
      <c r="AF157" s="77"/>
      <c r="AG157" s="77"/>
      <c r="AH157" s="78"/>
      <c r="AI157" s="78"/>
      <c r="AJ157" s="78"/>
      <c r="AK157" s="78"/>
      <c r="AL157" s="78"/>
      <c r="AM157" s="78"/>
      <c r="AN157" s="76"/>
      <c r="AO157" s="76"/>
      <c r="AP157" s="76"/>
      <c r="AQ157" s="76"/>
      <c r="AR157" s="76"/>
      <c r="AS157" s="76"/>
      <c r="AT157" s="76"/>
      <c r="AU157" s="76"/>
      <c r="AV157" s="76"/>
      <c r="AW157" s="79"/>
      <c r="AX157" s="79"/>
      <c r="AY157" s="79"/>
      <c r="AZ157" s="79"/>
      <c r="BA157" s="79"/>
      <c r="BB157" s="11"/>
      <c r="BC157" s="11"/>
      <c r="BD157" s="11"/>
      <c r="BE157" s="73"/>
      <c r="BF157" s="73"/>
      <c r="BG157" s="73"/>
      <c r="BH157" s="77"/>
      <c r="BI157" s="77"/>
      <c r="BJ157" s="77"/>
      <c r="BK157" s="77"/>
      <c r="BL157" s="77"/>
      <c r="BM157" s="77"/>
      <c r="BN157" s="158"/>
      <c r="BO157" s="158"/>
    </row>
    <row r="158" spans="1:67" ht="15" x14ac:dyDescent="0.25">
      <c r="A158" s="71"/>
      <c r="B158" s="11"/>
      <c r="C158" s="11"/>
      <c r="D158" s="11"/>
      <c r="E158" s="11"/>
      <c r="F158" s="11"/>
      <c r="G158" s="11"/>
      <c r="H158" s="11"/>
      <c r="I158" s="11"/>
      <c r="J158" s="249"/>
      <c r="K158" s="72"/>
      <c r="L158" s="73"/>
      <c r="M158" s="73"/>
      <c r="N158" s="74"/>
      <c r="O158" s="75"/>
      <c r="P158" s="73"/>
      <c r="Q158" s="76"/>
      <c r="R158" s="76"/>
      <c r="S158" s="76"/>
      <c r="T158" s="76"/>
      <c r="U158" s="76"/>
      <c r="V158" s="76"/>
      <c r="W158" s="76"/>
      <c r="X158" s="76"/>
      <c r="Y158" s="76"/>
      <c r="Z158" s="77"/>
      <c r="AA158" s="77"/>
      <c r="AB158" s="77"/>
      <c r="AC158" s="77"/>
      <c r="AD158" s="77"/>
      <c r="AE158" s="77"/>
      <c r="AF158" s="77"/>
      <c r="AG158" s="77"/>
      <c r="AH158" s="78"/>
      <c r="AI158" s="78"/>
      <c r="AJ158" s="78"/>
      <c r="AK158" s="78"/>
      <c r="AL158" s="78"/>
      <c r="AM158" s="78"/>
      <c r="AN158" s="76"/>
      <c r="AO158" s="76"/>
      <c r="AP158" s="76"/>
      <c r="AQ158" s="76"/>
      <c r="AR158" s="76"/>
      <c r="AS158" s="76"/>
      <c r="AT158" s="76"/>
      <c r="AU158" s="76"/>
      <c r="AV158" s="76"/>
      <c r="AW158" s="79"/>
      <c r="AX158" s="79"/>
      <c r="AY158" s="79"/>
      <c r="AZ158" s="79"/>
      <c r="BA158" s="79"/>
      <c r="BB158" s="11"/>
      <c r="BC158" s="11"/>
      <c r="BD158" s="11"/>
      <c r="BE158" s="73"/>
      <c r="BF158" s="73"/>
      <c r="BG158" s="73"/>
      <c r="BH158" s="77"/>
      <c r="BI158" s="77"/>
      <c r="BJ158" s="77"/>
      <c r="BK158" s="77"/>
      <c r="BL158" s="77"/>
      <c r="BM158" s="77"/>
      <c r="BN158" s="158"/>
      <c r="BO158" s="158"/>
    </row>
    <row r="159" spans="1:67" ht="15" x14ac:dyDescent="0.25">
      <c r="A159" s="71"/>
      <c r="B159" s="11"/>
      <c r="C159" s="11"/>
      <c r="D159" s="11"/>
      <c r="E159" s="11"/>
      <c r="F159" s="11"/>
      <c r="G159" s="11"/>
      <c r="H159" s="11"/>
      <c r="I159" s="11"/>
      <c r="J159" s="249"/>
      <c r="K159" s="72"/>
      <c r="L159" s="73"/>
      <c r="M159" s="73"/>
      <c r="N159" s="74"/>
      <c r="O159" s="75"/>
      <c r="P159" s="73"/>
      <c r="Q159" s="76"/>
      <c r="R159" s="76"/>
      <c r="S159" s="76"/>
      <c r="T159" s="76"/>
      <c r="U159" s="76"/>
      <c r="V159" s="76"/>
      <c r="W159" s="76"/>
      <c r="X159" s="76"/>
      <c r="Y159" s="76"/>
      <c r="Z159" s="77"/>
      <c r="AA159" s="77"/>
      <c r="AB159" s="77"/>
      <c r="AC159" s="77"/>
      <c r="AD159" s="77"/>
      <c r="AE159" s="77"/>
      <c r="AF159" s="77"/>
      <c r="AG159" s="77"/>
      <c r="AH159" s="78"/>
      <c r="AI159" s="78"/>
      <c r="AJ159" s="78"/>
      <c r="AK159" s="78"/>
      <c r="AL159" s="78"/>
      <c r="AM159" s="78"/>
      <c r="AN159" s="76"/>
      <c r="AO159" s="76"/>
      <c r="AP159" s="76"/>
      <c r="AQ159" s="76"/>
      <c r="AR159" s="76"/>
      <c r="AS159" s="76"/>
      <c r="AT159" s="76"/>
      <c r="AU159" s="76"/>
      <c r="AV159" s="76"/>
      <c r="AW159" s="79"/>
      <c r="AX159" s="79"/>
      <c r="AY159" s="79"/>
      <c r="AZ159" s="79"/>
      <c r="BA159" s="79"/>
      <c r="BB159" s="11"/>
      <c r="BC159" s="11"/>
      <c r="BD159" s="11"/>
      <c r="BE159" s="73"/>
      <c r="BF159" s="73"/>
      <c r="BG159" s="73"/>
      <c r="BH159" s="77"/>
      <c r="BI159" s="77"/>
      <c r="BJ159" s="77"/>
      <c r="BK159" s="77"/>
      <c r="BL159" s="77"/>
      <c r="BM159" s="77"/>
      <c r="BN159" s="158"/>
      <c r="BO159" s="158"/>
    </row>
    <row r="160" spans="1:67" ht="15" x14ac:dyDescent="0.25">
      <c r="A160" s="71"/>
      <c r="B160" s="11"/>
      <c r="C160" s="11"/>
      <c r="D160" s="11"/>
      <c r="E160" s="11"/>
      <c r="F160" s="11"/>
      <c r="G160" s="11"/>
      <c r="H160" s="11"/>
      <c r="I160" s="11"/>
      <c r="J160" s="249"/>
      <c r="K160" s="72"/>
      <c r="L160" s="73"/>
      <c r="M160" s="73"/>
      <c r="N160" s="74"/>
      <c r="O160" s="75"/>
      <c r="P160" s="73"/>
      <c r="Q160" s="76"/>
      <c r="R160" s="76"/>
      <c r="S160" s="76"/>
      <c r="T160" s="76"/>
      <c r="U160" s="76"/>
      <c r="V160" s="76"/>
      <c r="W160" s="76"/>
      <c r="X160" s="76"/>
      <c r="Y160" s="76"/>
      <c r="Z160" s="77"/>
      <c r="AA160" s="77"/>
      <c r="AB160" s="77"/>
      <c r="AC160" s="77"/>
      <c r="AD160" s="77"/>
      <c r="AE160" s="77"/>
      <c r="AF160" s="77"/>
      <c r="AG160" s="77"/>
      <c r="AH160" s="78"/>
      <c r="AI160" s="78"/>
      <c r="AJ160" s="78"/>
      <c r="AK160" s="78"/>
      <c r="AL160" s="78"/>
      <c r="AM160" s="78"/>
      <c r="AN160" s="76"/>
      <c r="AO160" s="76"/>
      <c r="AP160" s="76"/>
      <c r="AQ160" s="76"/>
      <c r="AR160" s="76"/>
      <c r="AS160" s="76"/>
      <c r="AT160" s="76"/>
      <c r="AU160" s="76"/>
      <c r="AV160" s="76"/>
      <c r="AW160" s="79"/>
      <c r="AX160" s="79"/>
      <c r="AY160" s="79"/>
      <c r="AZ160" s="79"/>
      <c r="BA160" s="79"/>
      <c r="BB160" s="11"/>
      <c r="BC160" s="11"/>
      <c r="BD160" s="11"/>
      <c r="BE160" s="73"/>
      <c r="BF160" s="73"/>
      <c r="BG160" s="73"/>
      <c r="BH160" s="77"/>
      <c r="BI160" s="77"/>
      <c r="BJ160" s="77"/>
      <c r="BK160" s="77"/>
      <c r="BL160" s="77"/>
      <c r="BM160" s="77"/>
      <c r="BN160" s="158"/>
      <c r="BO160" s="158"/>
    </row>
    <row r="161" spans="1:67" ht="15" x14ac:dyDescent="0.25">
      <c r="A161" s="71"/>
      <c r="B161" s="11"/>
      <c r="C161" s="11"/>
      <c r="D161" s="11"/>
      <c r="E161" s="11"/>
      <c r="F161" s="11"/>
      <c r="G161" s="11"/>
      <c r="H161" s="11"/>
      <c r="I161" s="11"/>
      <c r="J161" s="249"/>
      <c r="K161" s="72"/>
      <c r="L161" s="73"/>
      <c r="M161" s="73"/>
      <c r="N161" s="74"/>
      <c r="O161" s="75"/>
      <c r="P161" s="73"/>
      <c r="Q161" s="76"/>
      <c r="R161" s="76"/>
      <c r="S161" s="76"/>
      <c r="T161" s="76"/>
      <c r="U161" s="76"/>
      <c r="V161" s="76"/>
      <c r="W161" s="76"/>
      <c r="X161" s="76"/>
      <c r="Y161" s="76"/>
      <c r="Z161" s="77"/>
      <c r="AA161" s="77"/>
      <c r="AB161" s="77"/>
      <c r="AC161" s="77"/>
      <c r="AD161" s="77"/>
      <c r="AE161" s="77"/>
      <c r="AF161" s="77"/>
      <c r="AG161" s="77"/>
      <c r="AH161" s="78"/>
      <c r="AI161" s="78"/>
      <c r="AJ161" s="78"/>
      <c r="AK161" s="78"/>
      <c r="AL161" s="78"/>
      <c r="AM161" s="78"/>
      <c r="AN161" s="76"/>
      <c r="AO161" s="76"/>
      <c r="AP161" s="76"/>
      <c r="AQ161" s="76"/>
      <c r="AR161" s="76"/>
      <c r="AS161" s="76"/>
      <c r="AT161" s="76"/>
      <c r="AU161" s="76"/>
      <c r="AV161" s="76"/>
      <c r="AW161" s="79"/>
      <c r="AX161" s="79"/>
      <c r="AY161" s="79"/>
      <c r="AZ161" s="79"/>
      <c r="BA161" s="79"/>
      <c r="BB161" s="11"/>
      <c r="BC161" s="11"/>
      <c r="BD161" s="11"/>
      <c r="BE161" s="73"/>
      <c r="BF161" s="73"/>
      <c r="BG161" s="73"/>
      <c r="BH161" s="77"/>
      <c r="BI161" s="77"/>
      <c r="BJ161" s="77"/>
      <c r="BK161" s="77"/>
      <c r="BL161" s="77"/>
      <c r="BM161" s="77"/>
      <c r="BN161" s="158"/>
      <c r="BO161" s="158"/>
    </row>
    <row r="162" spans="1:67" ht="15" x14ac:dyDescent="0.25">
      <c r="A162" s="71"/>
      <c r="B162" s="11"/>
      <c r="C162" s="11"/>
      <c r="D162" s="11"/>
      <c r="E162" s="11"/>
      <c r="F162" s="11"/>
      <c r="G162" s="11"/>
      <c r="H162" s="11"/>
      <c r="I162" s="11"/>
      <c r="J162" s="249"/>
      <c r="K162" s="72"/>
      <c r="L162" s="73"/>
      <c r="M162" s="73"/>
      <c r="N162" s="74"/>
      <c r="O162" s="75"/>
      <c r="P162" s="73"/>
      <c r="Q162" s="76"/>
      <c r="R162" s="76"/>
      <c r="S162" s="76"/>
      <c r="T162" s="76"/>
      <c r="U162" s="76"/>
      <c r="V162" s="76"/>
      <c r="W162" s="76"/>
      <c r="X162" s="76"/>
      <c r="Y162" s="76"/>
      <c r="Z162" s="77"/>
      <c r="AA162" s="77"/>
      <c r="AB162" s="77"/>
      <c r="AC162" s="77"/>
      <c r="AD162" s="77"/>
      <c r="AE162" s="77"/>
      <c r="AF162" s="77"/>
      <c r="AG162" s="77"/>
      <c r="AH162" s="78"/>
      <c r="AI162" s="78"/>
      <c r="AJ162" s="78"/>
      <c r="AK162" s="78"/>
      <c r="AL162" s="78"/>
      <c r="AM162" s="78"/>
      <c r="AN162" s="76"/>
      <c r="AO162" s="76"/>
      <c r="AP162" s="76"/>
      <c r="AQ162" s="76"/>
      <c r="AR162" s="76"/>
      <c r="AS162" s="76"/>
      <c r="AT162" s="76"/>
      <c r="AU162" s="76"/>
      <c r="AV162" s="76"/>
      <c r="AW162" s="79"/>
      <c r="AX162" s="79"/>
      <c r="AY162" s="79"/>
      <c r="AZ162" s="79"/>
      <c r="BA162" s="79"/>
      <c r="BB162" s="11"/>
      <c r="BC162" s="11"/>
      <c r="BD162" s="11"/>
      <c r="BE162" s="73"/>
      <c r="BF162" s="73"/>
      <c r="BG162" s="73"/>
      <c r="BH162" s="77"/>
      <c r="BI162" s="77"/>
      <c r="BJ162" s="77"/>
      <c r="BK162" s="77"/>
      <c r="BL162" s="77"/>
      <c r="BM162" s="77"/>
      <c r="BN162" s="158"/>
      <c r="BO162" s="158"/>
    </row>
    <row r="163" spans="1:67" ht="15" x14ac:dyDescent="0.25">
      <c r="A163" s="71"/>
      <c r="B163" s="11"/>
      <c r="C163" s="11"/>
      <c r="D163" s="11"/>
      <c r="E163" s="11"/>
      <c r="F163" s="11"/>
      <c r="G163" s="11"/>
      <c r="H163" s="11"/>
      <c r="I163" s="11"/>
      <c r="J163" s="249"/>
      <c r="K163" s="72"/>
      <c r="L163" s="73"/>
      <c r="M163" s="73"/>
      <c r="N163" s="74"/>
      <c r="O163" s="75"/>
      <c r="P163" s="73"/>
      <c r="Q163" s="76"/>
      <c r="R163" s="76"/>
      <c r="S163" s="76"/>
      <c r="T163" s="76"/>
      <c r="U163" s="76"/>
      <c r="V163" s="76"/>
      <c r="W163" s="76"/>
      <c r="X163" s="76"/>
      <c r="Y163" s="76"/>
      <c r="Z163" s="77"/>
      <c r="AA163" s="77"/>
      <c r="AB163" s="77"/>
      <c r="AC163" s="77"/>
      <c r="AD163" s="77"/>
      <c r="AE163" s="77"/>
      <c r="AF163" s="77"/>
      <c r="AG163" s="77"/>
      <c r="AH163" s="78"/>
      <c r="AI163" s="78"/>
      <c r="AJ163" s="78"/>
      <c r="AK163" s="78"/>
      <c r="AL163" s="78"/>
      <c r="AM163" s="78"/>
      <c r="AN163" s="76"/>
      <c r="AO163" s="76"/>
      <c r="AP163" s="76"/>
      <c r="AQ163" s="76"/>
      <c r="AR163" s="76"/>
      <c r="AS163" s="76"/>
      <c r="AT163" s="76"/>
      <c r="AU163" s="76"/>
      <c r="AV163" s="76"/>
      <c r="AW163" s="79"/>
      <c r="AX163" s="79"/>
      <c r="AY163" s="79"/>
      <c r="AZ163" s="79"/>
      <c r="BA163" s="79"/>
      <c r="BB163" s="11"/>
      <c r="BC163" s="11"/>
      <c r="BD163" s="11"/>
      <c r="BE163" s="73"/>
      <c r="BF163" s="73"/>
      <c r="BG163" s="73"/>
      <c r="BH163" s="77"/>
      <c r="BI163" s="77"/>
      <c r="BJ163" s="77"/>
      <c r="BK163" s="77"/>
      <c r="BL163" s="77"/>
      <c r="BM163" s="77"/>
      <c r="BN163" s="158"/>
      <c r="BO163" s="158"/>
    </row>
    <row r="164" spans="1:67" ht="15" x14ac:dyDescent="0.25">
      <c r="A164" s="71"/>
      <c r="B164" s="11"/>
      <c r="C164" s="11"/>
      <c r="D164" s="11"/>
      <c r="E164" s="11"/>
      <c r="F164" s="11"/>
      <c r="G164" s="11"/>
      <c r="H164" s="11"/>
      <c r="I164" s="11"/>
      <c r="J164" s="249"/>
      <c r="K164" s="72"/>
      <c r="L164" s="73"/>
      <c r="M164" s="73"/>
      <c r="N164" s="74"/>
      <c r="O164" s="75"/>
      <c r="P164" s="73"/>
      <c r="Q164" s="76"/>
      <c r="R164" s="76"/>
      <c r="S164" s="76"/>
      <c r="T164" s="76"/>
      <c r="U164" s="76"/>
      <c r="V164" s="76"/>
      <c r="W164" s="76"/>
      <c r="X164" s="76"/>
      <c r="Y164" s="76"/>
      <c r="Z164" s="77"/>
      <c r="AA164" s="77"/>
      <c r="AB164" s="77"/>
      <c r="AC164" s="77"/>
      <c r="AD164" s="77"/>
      <c r="AE164" s="77"/>
      <c r="AF164" s="77"/>
      <c r="AG164" s="77"/>
      <c r="AH164" s="78"/>
      <c r="AI164" s="78"/>
      <c r="AJ164" s="78"/>
      <c r="AK164" s="78"/>
      <c r="AL164" s="78"/>
      <c r="AM164" s="78"/>
      <c r="AN164" s="76"/>
      <c r="AO164" s="76"/>
      <c r="AP164" s="76"/>
      <c r="AQ164" s="76"/>
      <c r="AR164" s="76"/>
      <c r="AS164" s="76"/>
      <c r="AT164" s="76"/>
      <c r="AU164" s="76"/>
      <c r="AV164" s="76"/>
      <c r="AW164" s="79"/>
      <c r="AX164" s="79"/>
      <c r="AY164" s="79"/>
      <c r="AZ164" s="79"/>
      <c r="BA164" s="79"/>
      <c r="BB164" s="11"/>
      <c r="BC164" s="11"/>
      <c r="BD164" s="11"/>
      <c r="BE164" s="73"/>
      <c r="BF164" s="73"/>
      <c r="BG164" s="73"/>
      <c r="BH164" s="77"/>
      <c r="BI164" s="77"/>
      <c r="BJ164" s="77"/>
      <c r="BK164" s="77"/>
      <c r="BL164" s="77"/>
      <c r="BM164" s="77"/>
      <c r="BN164" s="158"/>
      <c r="BO164" s="158"/>
    </row>
    <row r="165" spans="1:67" ht="15" x14ac:dyDescent="0.25">
      <c r="A165" s="71"/>
      <c r="B165" s="11"/>
      <c r="C165" s="11"/>
      <c r="D165" s="11"/>
      <c r="E165" s="11"/>
      <c r="F165" s="11"/>
      <c r="G165" s="11"/>
      <c r="H165" s="11"/>
      <c r="I165" s="11"/>
      <c r="J165" s="249"/>
      <c r="K165" s="72"/>
      <c r="L165" s="73"/>
      <c r="M165" s="73"/>
      <c r="N165" s="74"/>
      <c r="O165" s="75"/>
      <c r="P165" s="73"/>
      <c r="Q165" s="76"/>
      <c r="R165" s="76"/>
      <c r="S165" s="76"/>
      <c r="T165" s="76"/>
      <c r="U165" s="76"/>
      <c r="V165" s="76"/>
      <c r="W165" s="76"/>
      <c r="X165" s="76"/>
      <c r="Y165" s="76"/>
      <c r="Z165" s="77"/>
      <c r="AA165" s="77"/>
      <c r="AB165" s="77"/>
      <c r="AC165" s="77"/>
      <c r="AD165" s="77"/>
      <c r="AE165" s="77"/>
      <c r="AF165" s="77"/>
      <c r="AG165" s="77"/>
      <c r="AH165" s="78"/>
      <c r="AI165" s="78"/>
      <c r="AJ165" s="78"/>
      <c r="AK165" s="78"/>
      <c r="AL165" s="78"/>
      <c r="AM165" s="78"/>
      <c r="AN165" s="76"/>
      <c r="AO165" s="76"/>
      <c r="AP165" s="76"/>
      <c r="AQ165" s="76"/>
      <c r="AR165" s="76"/>
      <c r="AS165" s="76"/>
      <c r="AT165" s="76"/>
      <c r="AU165" s="76"/>
      <c r="AV165" s="76"/>
      <c r="AW165" s="79"/>
      <c r="AX165" s="79"/>
      <c r="AY165" s="79"/>
      <c r="AZ165" s="79"/>
      <c r="BA165" s="79"/>
      <c r="BB165" s="11"/>
      <c r="BC165" s="11"/>
      <c r="BD165" s="11"/>
      <c r="BE165" s="73"/>
      <c r="BF165" s="73"/>
      <c r="BG165" s="73"/>
      <c r="BH165" s="77"/>
      <c r="BI165" s="77"/>
      <c r="BJ165" s="77"/>
      <c r="BK165" s="77"/>
      <c r="BL165" s="77"/>
      <c r="BM165" s="77"/>
      <c r="BN165" s="158"/>
      <c r="BO165" s="158"/>
    </row>
    <row r="166" spans="1:67" ht="15" x14ac:dyDescent="0.25">
      <c r="A166" s="71"/>
      <c r="B166" s="11"/>
      <c r="C166" s="11"/>
      <c r="D166" s="11"/>
      <c r="E166" s="11"/>
      <c r="F166" s="11"/>
      <c r="G166" s="11"/>
      <c r="H166" s="11"/>
      <c r="I166" s="11"/>
      <c r="J166" s="249"/>
      <c r="K166" s="72"/>
      <c r="L166" s="73"/>
      <c r="M166" s="73"/>
      <c r="N166" s="74"/>
      <c r="O166" s="75"/>
      <c r="P166" s="73"/>
      <c r="Q166" s="76"/>
      <c r="R166" s="76"/>
      <c r="S166" s="76"/>
      <c r="T166" s="76"/>
      <c r="U166" s="76"/>
      <c r="V166" s="76"/>
      <c r="W166" s="76"/>
      <c r="X166" s="76"/>
      <c r="Y166" s="76"/>
      <c r="Z166" s="77"/>
      <c r="AA166" s="77"/>
      <c r="AB166" s="77"/>
      <c r="AC166" s="77"/>
      <c r="AD166" s="77"/>
      <c r="AE166" s="77"/>
      <c r="AF166" s="77"/>
      <c r="AG166" s="77"/>
      <c r="AH166" s="78"/>
      <c r="AI166" s="78"/>
      <c r="AJ166" s="78"/>
      <c r="AK166" s="78"/>
      <c r="AL166" s="78"/>
      <c r="AM166" s="78"/>
      <c r="AN166" s="76"/>
      <c r="AO166" s="76"/>
      <c r="AP166" s="76"/>
      <c r="AQ166" s="76"/>
      <c r="AR166" s="76"/>
      <c r="AS166" s="76"/>
      <c r="AT166" s="76"/>
      <c r="AU166" s="76"/>
      <c r="AV166" s="76"/>
      <c r="AW166" s="79"/>
      <c r="AX166" s="79"/>
      <c r="AY166" s="79"/>
      <c r="AZ166" s="79"/>
      <c r="BA166" s="79"/>
      <c r="BB166" s="11"/>
      <c r="BC166" s="11"/>
      <c r="BD166" s="11"/>
      <c r="BE166" s="73"/>
      <c r="BF166" s="73"/>
      <c r="BG166" s="73"/>
      <c r="BH166" s="77"/>
      <c r="BI166" s="77"/>
      <c r="BJ166" s="77"/>
      <c r="BK166" s="77"/>
      <c r="BL166" s="77"/>
      <c r="BM166" s="77"/>
      <c r="BN166" s="158"/>
      <c r="BO166" s="158"/>
    </row>
    <row r="167" spans="1:67" ht="15" x14ac:dyDescent="0.25">
      <c r="A167" s="71"/>
      <c r="B167" s="11"/>
      <c r="C167" s="11"/>
      <c r="D167" s="11"/>
      <c r="E167" s="11"/>
      <c r="F167" s="11"/>
      <c r="G167" s="11"/>
      <c r="H167" s="11"/>
      <c r="I167" s="11"/>
      <c r="J167" s="249"/>
      <c r="K167" s="72"/>
      <c r="L167" s="73"/>
      <c r="M167" s="73"/>
      <c r="N167" s="74"/>
      <c r="O167" s="75"/>
      <c r="P167" s="73"/>
      <c r="Q167" s="76"/>
      <c r="R167" s="76"/>
      <c r="S167" s="76"/>
      <c r="T167" s="76"/>
      <c r="U167" s="76"/>
      <c r="V167" s="76"/>
      <c r="W167" s="76"/>
      <c r="X167" s="76"/>
      <c r="Y167" s="76"/>
      <c r="Z167" s="77"/>
      <c r="AA167" s="77"/>
      <c r="AB167" s="77"/>
      <c r="AC167" s="77"/>
      <c r="AD167" s="77"/>
      <c r="AE167" s="77"/>
      <c r="AF167" s="77"/>
      <c r="AG167" s="77"/>
      <c r="AH167" s="78"/>
      <c r="AI167" s="78"/>
      <c r="AJ167" s="78"/>
      <c r="AK167" s="78"/>
      <c r="AL167" s="78"/>
      <c r="AM167" s="78"/>
      <c r="AN167" s="76"/>
      <c r="AO167" s="76"/>
      <c r="AP167" s="76"/>
      <c r="AQ167" s="76"/>
      <c r="AR167" s="76"/>
      <c r="AS167" s="76"/>
      <c r="AT167" s="76"/>
      <c r="AU167" s="76"/>
      <c r="AV167" s="76"/>
      <c r="AW167" s="79"/>
      <c r="AX167" s="79"/>
      <c r="AY167" s="79"/>
      <c r="AZ167" s="79"/>
      <c r="BA167" s="79"/>
      <c r="BB167" s="11"/>
      <c r="BC167" s="11"/>
      <c r="BD167" s="11"/>
      <c r="BE167" s="73"/>
      <c r="BF167" s="73"/>
      <c r="BG167" s="73"/>
      <c r="BH167" s="77"/>
      <c r="BI167" s="77"/>
      <c r="BJ167" s="77"/>
      <c r="BK167" s="77"/>
      <c r="BL167" s="77"/>
      <c r="BM167" s="77"/>
      <c r="BN167" s="158"/>
      <c r="BO167" s="158"/>
    </row>
    <row r="168" spans="1:67" ht="15" x14ac:dyDescent="0.25">
      <c r="A168" s="71"/>
      <c r="B168" s="11"/>
      <c r="C168" s="11"/>
      <c r="D168" s="11"/>
      <c r="E168" s="11"/>
      <c r="F168" s="11"/>
      <c r="G168" s="11"/>
      <c r="H168" s="11"/>
      <c r="I168" s="11"/>
      <c r="J168" s="249"/>
      <c r="K168" s="72"/>
      <c r="L168" s="73"/>
      <c r="M168" s="73"/>
      <c r="N168" s="74"/>
      <c r="O168" s="75"/>
      <c r="P168" s="73"/>
      <c r="Q168" s="76"/>
      <c r="R168" s="76"/>
      <c r="S168" s="76"/>
      <c r="T168" s="76"/>
      <c r="U168" s="76"/>
      <c r="V168" s="76"/>
      <c r="W168" s="76"/>
      <c r="X168" s="76"/>
      <c r="Y168" s="76"/>
      <c r="Z168" s="77"/>
      <c r="AA168" s="77"/>
      <c r="AB168" s="77"/>
      <c r="AC168" s="77"/>
      <c r="AD168" s="77"/>
      <c r="AE168" s="77"/>
      <c r="AF168" s="77"/>
      <c r="AG168" s="77"/>
      <c r="AH168" s="78"/>
      <c r="AI168" s="78"/>
      <c r="AJ168" s="78"/>
      <c r="AK168" s="78"/>
      <c r="AL168" s="78"/>
      <c r="AM168" s="78"/>
      <c r="AN168" s="76"/>
      <c r="AO168" s="76"/>
      <c r="AP168" s="76"/>
      <c r="AQ168" s="76"/>
      <c r="AR168" s="76"/>
      <c r="AS168" s="76"/>
      <c r="AT168" s="76"/>
      <c r="AU168" s="76"/>
      <c r="AV168" s="76"/>
      <c r="AW168" s="79"/>
      <c r="AX168" s="79"/>
      <c r="AY168" s="79"/>
      <c r="AZ168" s="79"/>
      <c r="BA168" s="79"/>
      <c r="BB168" s="11"/>
      <c r="BC168" s="11"/>
      <c r="BD168" s="11"/>
      <c r="BE168" s="73"/>
      <c r="BF168" s="73"/>
      <c r="BG168" s="73"/>
      <c r="BH168" s="77"/>
      <c r="BI168" s="77"/>
      <c r="BJ168" s="77"/>
      <c r="BK168" s="77"/>
      <c r="BL168" s="77"/>
      <c r="BM168" s="77"/>
      <c r="BN168" s="158"/>
      <c r="BO168" s="158"/>
    </row>
    <row r="169" spans="1:67" ht="15" x14ac:dyDescent="0.25">
      <c r="A169" s="71"/>
      <c r="B169" s="11"/>
      <c r="C169" s="11"/>
      <c r="D169" s="11"/>
      <c r="E169" s="11"/>
      <c r="F169" s="11"/>
      <c r="G169" s="11"/>
      <c r="H169" s="11"/>
      <c r="I169" s="11"/>
      <c r="J169" s="249"/>
      <c r="K169" s="72"/>
      <c r="L169" s="73"/>
      <c r="M169" s="73"/>
      <c r="N169" s="74"/>
      <c r="O169" s="75"/>
      <c r="P169" s="73"/>
      <c r="Q169" s="76"/>
      <c r="R169" s="76"/>
      <c r="S169" s="76"/>
      <c r="T169" s="76"/>
      <c r="U169" s="76"/>
      <c r="V169" s="76"/>
      <c r="W169" s="76"/>
      <c r="X169" s="76"/>
      <c r="Y169" s="76"/>
      <c r="Z169" s="77"/>
      <c r="AA169" s="77"/>
      <c r="AB169" s="77"/>
      <c r="AC169" s="77"/>
      <c r="AD169" s="77"/>
      <c r="AE169" s="77"/>
      <c r="AF169" s="77"/>
      <c r="AG169" s="77"/>
      <c r="AH169" s="78"/>
      <c r="AI169" s="78"/>
      <c r="AJ169" s="78"/>
      <c r="AK169" s="78"/>
      <c r="AL169" s="78"/>
      <c r="AM169" s="78"/>
      <c r="AN169" s="76"/>
      <c r="AO169" s="76"/>
      <c r="AP169" s="76"/>
      <c r="AQ169" s="76"/>
      <c r="AR169" s="76"/>
      <c r="AS169" s="76"/>
      <c r="AT169" s="76"/>
      <c r="AU169" s="76"/>
      <c r="AV169" s="76"/>
      <c r="AW169" s="79"/>
      <c r="AX169" s="79"/>
      <c r="AY169" s="79"/>
      <c r="AZ169" s="79"/>
      <c r="BA169" s="79"/>
      <c r="BB169" s="11"/>
      <c r="BC169" s="11"/>
      <c r="BD169" s="11"/>
      <c r="BE169" s="73"/>
      <c r="BF169" s="73"/>
      <c r="BG169" s="73"/>
      <c r="BH169" s="77"/>
      <c r="BI169" s="77"/>
      <c r="BJ169" s="77"/>
      <c r="BK169" s="77"/>
      <c r="BL169" s="77"/>
      <c r="BM169" s="77"/>
      <c r="BN169" s="158"/>
      <c r="BO169" s="158"/>
    </row>
    <row r="170" spans="1:67" ht="15" x14ac:dyDescent="0.25">
      <c r="A170" s="71"/>
      <c r="B170" s="11"/>
      <c r="C170" s="11"/>
      <c r="D170" s="11"/>
      <c r="E170" s="11"/>
      <c r="F170" s="11"/>
      <c r="G170" s="11"/>
      <c r="H170" s="11"/>
      <c r="I170" s="11"/>
      <c r="J170" s="249"/>
      <c r="K170" s="72"/>
      <c r="L170" s="73"/>
      <c r="M170" s="73"/>
      <c r="N170" s="74"/>
      <c r="O170" s="75"/>
      <c r="P170" s="73"/>
      <c r="Q170" s="76"/>
      <c r="R170" s="76"/>
      <c r="S170" s="76"/>
      <c r="T170" s="76"/>
      <c r="U170" s="76"/>
      <c r="V170" s="76"/>
      <c r="W170" s="76"/>
      <c r="X170" s="76"/>
      <c r="Y170" s="76"/>
      <c r="Z170" s="77"/>
      <c r="AA170" s="77"/>
      <c r="AB170" s="77"/>
      <c r="AC170" s="77"/>
      <c r="AD170" s="77"/>
      <c r="AE170" s="77"/>
      <c r="AF170" s="77"/>
      <c r="AG170" s="77"/>
      <c r="AH170" s="78"/>
      <c r="AI170" s="78"/>
      <c r="AJ170" s="78"/>
      <c r="AK170" s="78"/>
      <c r="AL170" s="78"/>
      <c r="AM170" s="78"/>
      <c r="AN170" s="76"/>
      <c r="AO170" s="76"/>
      <c r="AP170" s="76"/>
      <c r="AQ170" s="76"/>
      <c r="AR170" s="76"/>
      <c r="AS170" s="76"/>
      <c r="AT170" s="76"/>
      <c r="AU170" s="76"/>
      <c r="AV170" s="76"/>
      <c r="AW170" s="79"/>
      <c r="AX170" s="79"/>
      <c r="AY170" s="79"/>
      <c r="AZ170" s="79"/>
      <c r="BA170" s="79"/>
      <c r="BB170" s="11"/>
      <c r="BC170" s="11"/>
      <c r="BD170" s="11"/>
      <c r="BE170" s="73"/>
      <c r="BF170" s="73"/>
      <c r="BG170" s="73"/>
      <c r="BH170" s="77"/>
      <c r="BI170" s="77"/>
      <c r="BJ170" s="77"/>
      <c r="BK170" s="77"/>
      <c r="BL170" s="77"/>
      <c r="BM170" s="77"/>
      <c r="BN170" s="158"/>
      <c r="BO170" s="158"/>
    </row>
    <row r="171" spans="1:67" ht="15" x14ac:dyDescent="0.25">
      <c r="A171" s="71"/>
      <c r="B171" s="11"/>
      <c r="C171" s="11"/>
      <c r="D171" s="11"/>
      <c r="E171" s="11"/>
      <c r="F171" s="11"/>
      <c r="G171" s="11"/>
      <c r="H171" s="11"/>
      <c r="I171" s="11"/>
      <c r="J171" s="249"/>
      <c r="K171" s="72"/>
      <c r="L171" s="73"/>
      <c r="M171" s="73"/>
      <c r="N171" s="74"/>
      <c r="O171" s="75"/>
      <c r="P171" s="73"/>
      <c r="Q171" s="76"/>
      <c r="R171" s="76"/>
      <c r="S171" s="76"/>
      <c r="T171" s="76"/>
      <c r="U171" s="76"/>
      <c r="V171" s="76"/>
      <c r="W171" s="76"/>
      <c r="X171" s="76"/>
      <c r="Y171" s="76"/>
      <c r="Z171" s="77"/>
      <c r="AA171" s="77"/>
      <c r="AB171" s="77"/>
      <c r="AC171" s="77"/>
      <c r="AD171" s="77"/>
      <c r="AE171" s="77"/>
      <c r="AF171" s="77"/>
      <c r="AG171" s="77"/>
      <c r="AH171" s="78"/>
      <c r="AI171" s="78"/>
      <c r="AJ171" s="78"/>
      <c r="AK171" s="78"/>
      <c r="AL171" s="78"/>
      <c r="AM171" s="78"/>
      <c r="AN171" s="76"/>
      <c r="AO171" s="76"/>
      <c r="AP171" s="76"/>
      <c r="AQ171" s="76"/>
      <c r="AR171" s="76"/>
      <c r="AS171" s="76"/>
      <c r="AT171" s="76"/>
      <c r="AU171" s="76"/>
      <c r="AV171" s="76"/>
      <c r="AW171" s="79"/>
      <c r="AX171" s="79"/>
      <c r="AY171" s="79"/>
      <c r="AZ171" s="79"/>
      <c r="BA171" s="79"/>
      <c r="BB171" s="11"/>
      <c r="BC171" s="11"/>
      <c r="BD171" s="11"/>
      <c r="BE171" s="73"/>
      <c r="BF171" s="73"/>
      <c r="BG171" s="73"/>
      <c r="BH171" s="77"/>
      <c r="BI171" s="77"/>
      <c r="BJ171" s="77"/>
      <c r="BK171" s="77"/>
      <c r="BL171" s="77"/>
      <c r="BM171" s="77"/>
      <c r="BN171" s="158"/>
      <c r="BO171" s="158"/>
    </row>
    <row r="172" spans="1:67" ht="15" x14ac:dyDescent="0.25">
      <c r="A172" s="71"/>
      <c r="B172" s="11"/>
      <c r="C172" s="11"/>
      <c r="D172" s="11"/>
      <c r="E172" s="11"/>
      <c r="F172" s="11"/>
      <c r="G172" s="11"/>
      <c r="H172" s="11"/>
      <c r="I172" s="11"/>
      <c r="J172" s="249"/>
      <c r="K172" s="72"/>
      <c r="L172" s="73"/>
      <c r="M172" s="73"/>
      <c r="N172" s="74"/>
      <c r="O172" s="75"/>
      <c r="P172" s="73"/>
      <c r="Q172" s="76"/>
      <c r="R172" s="76"/>
      <c r="S172" s="76"/>
      <c r="T172" s="76"/>
      <c r="U172" s="76"/>
      <c r="V172" s="76"/>
      <c r="W172" s="76"/>
      <c r="X172" s="76"/>
      <c r="Y172" s="76"/>
      <c r="Z172" s="77"/>
      <c r="AA172" s="77"/>
      <c r="AB172" s="77"/>
      <c r="AC172" s="77"/>
      <c r="AD172" s="77"/>
      <c r="AE172" s="77"/>
      <c r="AF172" s="77"/>
      <c r="AG172" s="77"/>
      <c r="AH172" s="78"/>
      <c r="AI172" s="78"/>
      <c r="AJ172" s="78"/>
      <c r="AK172" s="78"/>
      <c r="AL172" s="78"/>
      <c r="AM172" s="78"/>
      <c r="AN172" s="76"/>
      <c r="AO172" s="76"/>
      <c r="AP172" s="76"/>
      <c r="AQ172" s="76"/>
      <c r="AR172" s="76"/>
      <c r="AS172" s="76"/>
      <c r="AT172" s="76"/>
      <c r="AU172" s="76"/>
      <c r="AV172" s="76"/>
      <c r="AW172" s="79"/>
      <c r="AX172" s="79"/>
      <c r="AY172" s="79"/>
      <c r="AZ172" s="79"/>
      <c r="BA172" s="79"/>
      <c r="BB172" s="11"/>
      <c r="BC172" s="11"/>
      <c r="BD172" s="11"/>
      <c r="BE172" s="73"/>
      <c r="BF172" s="73"/>
      <c r="BG172" s="73"/>
      <c r="BH172" s="77"/>
      <c r="BI172" s="77"/>
      <c r="BJ172" s="77"/>
      <c r="BK172" s="77"/>
      <c r="BL172" s="77"/>
      <c r="BM172" s="77"/>
      <c r="BN172" s="158"/>
      <c r="BO172" s="158"/>
    </row>
    <row r="173" spans="1:67" ht="15" x14ac:dyDescent="0.25">
      <c r="A173" s="71"/>
      <c r="B173" s="11"/>
      <c r="C173" s="11"/>
      <c r="D173" s="11"/>
      <c r="E173" s="11"/>
      <c r="F173" s="11"/>
      <c r="G173" s="11"/>
      <c r="H173" s="11"/>
      <c r="I173" s="11"/>
      <c r="J173" s="249"/>
      <c r="K173" s="72"/>
      <c r="L173" s="73"/>
      <c r="M173" s="73"/>
      <c r="N173" s="74"/>
      <c r="O173" s="75"/>
      <c r="P173" s="73"/>
      <c r="Q173" s="76"/>
      <c r="R173" s="76"/>
      <c r="S173" s="76"/>
      <c r="T173" s="76"/>
      <c r="U173" s="76"/>
      <c r="V173" s="76"/>
      <c r="W173" s="76"/>
      <c r="X173" s="76"/>
      <c r="Y173" s="76"/>
      <c r="Z173" s="77"/>
      <c r="AA173" s="77"/>
      <c r="AB173" s="77"/>
      <c r="AC173" s="77"/>
      <c r="AD173" s="77"/>
      <c r="AE173" s="77"/>
      <c r="AF173" s="77"/>
      <c r="AG173" s="77"/>
      <c r="AH173" s="78"/>
      <c r="AI173" s="78"/>
      <c r="AJ173" s="78"/>
      <c r="AK173" s="78"/>
      <c r="AL173" s="78"/>
      <c r="AM173" s="78"/>
      <c r="AN173" s="76"/>
      <c r="AO173" s="76"/>
      <c r="AP173" s="76"/>
      <c r="AQ173" s="76"/>
      <c r="AR173" s="76"/>
      <c r="AS173" s="76"/>
      <c r="AT173" s="76"/>
      <c r="AU173" s="76"/>
      <c r="AV173" s="76"/>
      <c r="AW173" s="79"/>
      <c r="AX173" s="79"/>
      <c r="AY173" s="79"/>
      <c r="AZ173" s="79"/>
      <c r="BA173" s="79"/>
      <c r="BB173" s="11"/>
      <c r="BC173" s="11"/>
      <c r="BD173" s="11"/>
      <c r="BE173" s="73"/>
      <c r="BF173" s="73"/>
      <c r="BG173" s="73"/>
      <c r="BH173" s="77"/>
      <c r="BI173" s="77"/>
      <c r="BJ173" s="77"/>
      <c r="BK173" s="77"/>
      <c r="BL173" s="77"/>
      <c r="BM173" s="77"/>
      <c r="BN173" s="158"/>
      <c r="BO173" s="158"/>
    </row>
    <row r="174" spans="1:67" ht="15" x14ac:dyDescent="0.25">
      <c r="A174" s="71"/>
      <c r="B174" s="11"/>
      <c r="C174" s="11"/>
      <c r="D174" s="11"/>
      <c r="E174" s="11"/>
      <c r="F174" s="11"/>
      <c r="G174" s="11"/>
      <c r="H174" s="11"/>
      <c r="I174" s="11"/>
      <c r="J174" s="249"/>
      <c r="K174" s="72"/>
      <c r="L174" s="73"/>
      <c r="M174" s="73"/>
      <c r="N174" s="74"/>
      <c r="O174" s="75"/>
      <c r="P174" s="73"/>
      <c r="Q174" s="76"/>
      <c r="R174" s="76"/>
      <c r="S174" s="76"/>
      <c r="T174" s="76"/>
      <c r="U174" s="76"/>
      <c r="V174" s="76"/>
      <c r="W174" s="76"/>
      <c r="X174" s="76"/>
      <c r="Y174" s="76"/>
      <c r="Z174" s="77"/>
      <c r="AA174" s="77"/>
      <c r="AB174" s="77"/>
      <c r="AC174" s="77"/>
      <c r="AD174" s="77"/>
      <c r="AE174" s="77"/>
      <c r="AF174" s="77"/>
      <c r="AG174" s="77"/>
      <c r="AH174" s="78"/>
      <c r="AI174" s="78"/>
      <c r="AJ174" s="78"/>
      <c r="AK174" s="78"/>
      <c r="AL174" s="78"/>
      <c r="AM174" s="78"/>
      <c r="AN174" s="76"/>
      <c r="AO174" s="76"/>
      <c r="AP174" s="76"/>
      <c r="AQ174" s="76"/>
      <c r="AR174" s="76"/>
      <c r="AS174" s="76"/>
      <c r="AT174" s="76"/>
      <c r="AU174" s="76"/>
      <c r="AV174" s="76"/>
      <c r="AW174" s="79"/>
      <c r="AX174" s="79"/>
      <c r="AY174" s="79"/>
      <c r="AZ174" s="79"/>
      <c r="BA174" s="79"/>
      <c r="BB174" s="11"/>
      <c r="BC174" s="11"/>
      <c r="BD174" s="11"/>
      <c r="BE174" s="73"/>
      <c r="BF174" s="73"/>
      <c r="BG174" s="73"/>
      <c r="BH174" s="77"/>
      <c r="BI174" s="77"/>
      <c r="BJ174" s="77"/>
      <c r="BK174" s="77"/>
      <c r="BL174" s="77"/>
      <c r="BM174" s="77"/>
      <c r="BN174" s="158"/>
      <c r="BO174" s="158"/>
    </row>
    <row r="175" spans="1:67" ht="15" x14ac:dyDescent="0.25">
      <c r="A175" s="71"/>
      <c r="B175" s="11"/>
      <c r="C175" s="11"/>
      <c r="D175" s="11"/>
      <c r="E175" s="11"/>
      <c r="F175" s="11"/>
      <c r="G175" s="11"/>
      <c r="H175" s="11"/>
      <c r="I175" s="11"/>
      <c r="J175" s="249"/>
      <c r="K175" s="72"/>
      <c r="L175" s="73"/>
      <c r="M175" s="73"/>
      <c r="N175" s="74"/>
      <c r="O175" s="75"/>
      <c r="P175" s="73"/>
      <c r="Q175" s="76"/>
      <c r="R175" s="76"/>
      <c r="S175" s="76"/>
      <c r="T175" s="76"/>
      <c r="U175" s="76"/>
      <c r="V175" s="76"/>
      <c r="W175" s="76"/>
      <c r="X175" s="76"/>
      <c r="Y175" s="76"/>
      <c r="Z175" s="77"/>
      <c r="AA175" s="77"/>
      <c r="AB175" s="77"/>
      <c r="AC175" s="77"/>
      <c r="AD175" s="77"/>
      <c r="AE175" s="77"/>
      <c r="AF175" s="77"/>
      <c r="AG175" s="77"/>
      <c r="AH175" s="78"/>
      <c r="AI175" s="78"/>
      <c r="AJ175" s="78"/>
      <c r="AK175" s="78"/>
      <c r="AL175" s="78"/>
      <c r="AM175" s="78"/>
      <c r="AN175" s="76"/>
      <c r="AO175" s="76"/>
      <c r="AP175" s="76"/>
      <c r="AQ175" s="76"/>
      <c r="AR175" s="76"/>
      <c r="AS175" s="76"/>
      <c r="AT175" s="76"/>
      <c r="AU175" s="76"/>
      <c r="AV175" s="76"/>
      <c r="AW175" s="79"/>
      <c r="AX175" s="79"/>
      <c r="AY175" s="79"/>
      <c r="AZ175" s="79"/>
      <c r="BA175" s="79"/>
      <c r="BB175" s="11"/>
      <c r="BC175" s="11"/>
      <c r="BD175" s="11"/>
      <c r="BE175" s="73"/>
      <c r="BF175" s="73"/>
      <c r="BG175" s="73"/>
      <c r="BH175" s="77"/>
      <c r="BI175" s="77"/>
      <c r="BJ175" s="77"/>
      <c r="BK175" s="77"/>
      <c r="BL175" s="77"/>
      <c r="BM175" s="77"/>
      <c r="BN175" s="158"/>
      <c r="BO175" s="158"/>
    </row>
    <row r="176" spans="1:67" ht="15" x14ac:dyDescent="0.25">
      <c r="A176" s="71"/>
      <c r="B176" s="11"/>
      <c r="C176" s="11"/>
      <c r="D176" s="11"/>
      <c r="E176" s="11"/>
      <c r="F176" s="11"/>
      <c r="G176" s="11"/>
      <c r="H176" s="11"/>
      <c r="I176" s="11"/>
      <c r="J176" s="249"/>
      <c r="K176" s="72"/>
      <c r="L176" s="73"/>
      <c r="M176" s="73"/>
      <c r="N176" s="74"/>
      <c r="O176" s="75"/>
      <c r="P176" s="73"/>
      <c r="Q176" s="76"/>
      <c r="R176" s="76"/>
      <c r="S176" s="76"/>
      <c r="T176" s="76"/>
      <c r="U176" s="76"/>
      <c r="V176" s="76"/>
      <c r="W176" s="76"/>
      <c r="X176" s="76"/>
      <c r="Y176" s="76"/>
      <c r="Z176" s="77"/>
      <c r="AA176" s="77"/>
      <c r="AB176" s="77"/>
      <c r="AC176" s="77"/>
      <c r="AD176" s="77"/>
      <c r="AE176" s="77"/>
      <c r="AF176" s="77"/>
      <c r="AG176" s="77"/>
      <c r="AH176" s="78"/>
      <c r="AI176" s="78"/>
      <c r="AJ176" s="78"/>
      <c r="AK176" s="78"/>
      <c r="AL176" s="78"/>
      <c r="AM176" s="78"/>
      <c r="AN176" s="76"/>
      <c r="AO176" s="76"/>
      <c r="AP176" s="76"/>
      <c r="AQ176" s="76"/>
      <c r="AR176" s="76"/>
      <c r="AS176" s="76"/>
      <c r="AT176" s="76"/>
      <c r="AU176" s="76"/>
      <c r="AV176" s="76"/>
      <c r="AW176" s="79"/>
      <c r="AX176" s="79"/>
      <c r="AY176" s="79"/>
      <c r="AZ176" s="79"/>
      <c r="BA176" s="79"/>
      <c r="BB176" s="11"/>
      <c r="BC176" s="11"/>
      <c r="BD176" s="11"/>
      <c r="BE176" s="73"/>
      <c r="BF176" s="73"/>
      <c r="BG176" s="73"/>
      <c r="BH176" s="77"/>
      <c r="BI176" s="77"/>
      <c r="BJ176" s="77"/>
      <c r="BK176" s="77"/>
      <c r="BL176" s="77"/>
      <c r="BM176" s="77"/>
      <c r="BN176" s="158"/>
      <c r="BO176" s="158"/>
    </row>
    <row r="177" spans="1:67" ht="15" x14ac:dyDescent="0.25">
      <c r="A177" s="71"/>
      <c r="B177" s="11"/>
      <c r="C177" s="11"/>
      <c r="D177" s="11"/>
      <c r="E177" s="11"/>
      <c r="F177" s="11"/>
      <c r="G177" s="11"/>
      <c r="H177" s="11"/>
      <c r="I177" s="11"/>
      <c r="J177" s="249"/>
      <c r="K177" s="72"/>
      <c r="L177" s="73"/>
      <c r="M177" s="73"/>
      <c r="N177" s="74"/>
      <c r="O177" s="75"/>
      <c r="P177" s="73"/>
      <c r="Q177" s="76"/>
      <c r="R177" s="76"/>
      <c r="S177" s="76"/>
      <c r="T177" s="76"/>
      <c r="U177" s="76"/>
      <c r="V177" s="76"/>
      <c r="W177" s="76"/>
      <c r="X177" s="76"/>
      <c r="Y177" s="76"/>
      <c r="Z177" s="77"/>
      <c r="AA177" s="77"/>
      <c r="AB177" s="77"/>
      <c r="AC177" s="77"/>
      <c r="AD177" s="77"/>
      <c r="AE177" s="77"/>
      <c r="AF177" s="77"/>
      <c r="AG177" s="77"/>
      <c r="AH177" s="78"/>
      <c r="AI177" s="78"/>
      <c r="AJ177" s="78"/>
      <c r="AK177" s="78"/>
      <c r="AL177" s="78"/>
      <c r="AM177" s="78"/>
      <c r="AN177" s="76"/>
      <c r="AO177" s="76"/>
      <c r="AP177" s="76"/>
      <c r="AQ177" s="76"/>
      <c r="AR177" s="76"/>
      <c r="AS177" s="76"/>
      <c r="AT177" s="76"/>
      <c r="AU177" s="76"/>
      <c r="AV177" s="76"/>
      <c r="AW177" s="79"/>
      <c r="AX177" s="79"/>
      <c r="AY177" s="79"/>
      <c r="AZ177" s="79"/>
      <c r="BA177" s="79"/>
      <c r="BB177" s="11"/>
      <c r="BC177" s="11"/>
      <c r="BD177" s="11"/>
      <c r="BE177" s="73"/>
      <c r="BF177" s="73"/>
      <c r="BG177" s="73"/>
      <c r="BH177" s="77"/>
      <c r="BI177" s="77"/>
      <c r="BJ177" s="77"/>
      <c r="BK177" s="77"/>
      <c r="BL177" s="77"/>
      <c r="BM177" s="77"/>
      <c r="BN177" s="158"/>
      <c r="BO177" s="158"/>
    </row>
    <row r="178" spans="1:67" ht="15" x14ac:dyDescent="0.25">
      <c r="A178" s="71"/>
      <c r="B178" s="11"/>
      <c r="C178" s="11"/>
      <c r="D178" s="11"/>
      <c r="E178" s="11"/>
      <c r="F178" s="11"/>
      <c r="G178" s="11"/>
      <c r="H178" s="11"/>
      <c r="I178" s="11"/>
      <c r="J178" s="249"/>
      <c r="K178" s="72"/>
      <c r="L178" s="73"/>
      <c r="M178" s="73"/>
      <c r="N178" s="74"/>
      <c r="O178" s="75"/>
      <c r="P178" s="73"/>
      <c r="Q178" s="76"/>
      <c r="R178" s="76"/>
      <c r="S178" s="76"/>
      <c r="T178" s="76"/>
      <c r="U178" s="76"/>
      <c r="V178" s="76"/>
      <c r="W178" s="76"/>
      <c r="X178" s="76"/>
      <c r="Y178" s="76"/>
      <c r="Z178" s="77"/>
      <c r="AA178" s="77"/>
      <c r="AB178" s="77"/>
      <c r="AC178" s="77"/>
      <c r="AD178" s="77"/>
      <c r="AE178" s="77"/>
      <c r="AF178" s="77"/>
      <c r="AG178" s="77"/>
      <c r="AH178" s="78"/>
      <c r="AI178" s="78"/>
      <c r="AJ178" s="78"/>
      <c r="AK178" s="78"/>
      <c r="AL178" s="78"/>
      <c r="AM178" s="78"/>
      <c r="AN178" s="76"/>
      <c r="AO178" s="76"/>
      <c r="AP178" s="76"/>
      <c r="AQ178" s="76"/>
      <c r="AR178" s="76"/>
      <c r="AS178" s="76"/>
      <c r="AT178" s="76"/>
      <c r="AU178" s="76"/>
      <c r="AV178" s="76"/>
      <c r="AW178" s="79"/>
      <c r="AX178" s="79"/>
      <c r="AY178" s="79"/>
      <c r="AZ178" s="79"/>
      <c r="BA178" s="79"/>
      <c r="BB178" s="11"/>
      <c r="BC178" s="11"/>
      <c r="BD178" s="11"/>
      <c r="BE178" s="73"/>
      <c r="BF178" s="73"/>
      <c r="BG178" s="73"/>
      <c r="BH178" s="77"/>
      <c r="BI178" s="77"/>
      <c r="BJ178" s="77"/>
      <c r="BK178" s="77"/>
      <c r="BL178" s="77"/>
      <c r="BM178" s="77"/>
      <c r="BN178" s="158"/>
      <c r="BO178" s="158"/>
    </row>
    <row r="179" spans="1:67" ht="15" x14ac:dyDescent="0.25">
      <c r="A179" s="71"/>
      <c r="B179" s="11"/>
      <c r="C179" s="11"/>
      <c r="D179" s="11"/>
      <c r="E179" s="11"/>
      <c r="F179" s="11"/>
      <c r="G179" s="11"/>
      <c r="H179" s="11"/>
      <c r="I179" s="11"/>
      <c r="J179" s="249"/>
      <c r="K179" s="72"/>
      <c r="L179" s="73"/>
      <c r="M179" s="73"/>
      <c r="N179" s="74"/>
      <c r="O179" s="75"/>
      <c r="P179" s="73"/>
      <c r="Q179" s="76"/>
      <c r="R179" s="76"/>
      <c r="S179" s="76"/>
      <c r="T179" s="76"/>
      <c r="U179" s="76"/>
      <c r="V179" s="76"/>
      <c r="W179" s="76"/>
      <c r="X179" s="76"/>
      <c r="Y179" s="76"/>
      <c r="Z179" s="77"/>
      <c r="AA179" s="77"/>
      <c r="AB179" s="77"/>
      <c r="AC179" s="77"/>
      <c r="AD179" s="77"/>
      <c r="AE179" s="77"/>
      <c r="AF179" s="77"/>
      <c r="AG179" s="77"/>
      <c r="AH179" s="78"/>
      <c r="AI179" s="78"/>
      <c r="AJ179" s="78"/>
      <c r="AK179" s="78"/>
      <c r="AL179" s="78"/>
      <c r="AM179" s="78"/>
      <c r="AN179" s="76"/>
      <c r="AO179" s="76"/>
      <c r="AP179" s="76"/>
      <c r="AQ179" s="76"/>
      <c r="AR179" s="76"/>
      <c r="AS179" s="76"/>
      <c r="AT179" s="76"/>
      <c r="AU179" s="76"/>
      <c r="AV179" s="76"/>
      <c r="AW179" s="79"/>
      <c r="AX179" s="79"/>
      <c r="AY179" s="79"/>
      <c r="AZ179" s="79"/>
      <c r="BA179" s="79"/>
      <c r="BB179" s="11"/>
      <c r="BC179" s="11"/>
      <c r="BD179" s="11"/>
      <c r="BE179" s="73"/>
      <c r="BF179" s="73"/>
      <c r="BG179" s="73"/>
      <c r="BH179" s="77"/>
      <c r="BI179" s="77"/>
      <c r="BJ179" s="77"/>
      <c r="BK179" s="77"/>
      <c r="BL179" s="77"/>
      <c r="BM179" s="77"/>
      <c r="BN179" s="158"/>
      <c r="BO179" s="158"/>
    </row>
    <row r="180" spans="1:67" ht="15" x14ac:dyDescent="0.25">
      <c r="A180" s="71"/>
      <c r="B180" s="11"/>
      <c r="C180" s="11"/>
      <c r="D180" s="11"/>
      <c r="E180" s="11"/>
      <c r="F180" s="11"/>
      <c r="G180" s="11"/>
      <c r="H180" s="11"/>
      <c r="I180" s="11"/>
      <c r="J180" s="249"/>
      <c r="K180" s="72"/>
      <c r="L180" s="73"/>
      <c r="M180" s="73"/>
      <c r="N180" s="74"/>
      <c r="O180" s="75"/>
      <c r="P180" s="73"/>
      <c r="Q180" s="76"/>
      <c r="R180" s="76"/>
      <c r="S180" s="76"/>
      <c r="T180" s="76"/>
      <c r="U180" s="76"/>
      <c r="V180" s="76"/>
      <c r="W180" s="76"/>
      <c r="X180" s="76"/>
      <c r="Y180" s="76"/>
      <c r="Z180" s="77"/>
      <c r="AA180" s="77"/>
      <c r="AB180" s="77"/>
      <c r="AC180" s="77"/>
      <c r="AD180" s="77"/>
      <c r="AE180" s="77"/>
      <c r="AF180" s="77"/>
      <c r="AG180" s="77"/>
      <c r="AH180" s="78"/>
      <c r="AI180" s="78"/>
      <c r="AJ180" s="78"/>
      <c r="AK180" s="78"/>
      <c r="AL180" s="78"/>
      <c r="AM180" s="78"/>
      <c r="AN180" s="76"/>
      <c r="AO180" s="76"/>
      <c r="AP180" s="76"/>
      <c r="AQ180" s="76"/>
      <c r="AR180" s="76"/>
      <c r="AS180" s="76"/>
      <c r="AT180" s="76"/>
      <c r="AU180" s="76"/>
      <c r="AV180" s="76"/>
      <c r="AW180" s="79"/>
      <c r="AX180" s="79"/>
      <c r="AY180" s="79"/>
      <c r="AZ180" s="79"/>
      <c r="BA180" s="79"/>
      <c r="BB180" s="11"/>
      <c r="BC180" s="11"/>
      <c r="BD180" s="11"/>
      <c r="BE180" s="73"/>
      <c r="BF180" s="73"/>
      <c r="BG180" s="73"/>
      <c r="BH180" s="77"/>
      <c r="BI180" s="77"/>
      <c r="BJ180" s="77"/>
      <c r="BK180" s="77"/>
      <c r="BL180" s="77"/>
      <c r="BM180" s="77"/>
      <c r="BN180" s="158"/>
      <c r="BO180" s="158"/>
    </row>
    <row r="181" spans="1:67" ht="15" x14ac:dyDescent="0.25">
      <c r="A181" s="71"/>
      <c r="B181" s="11"/>
      <c r="C181" s="11"/>
      <c r="D181" s="11"/>
      <c r="E181" s="11"/>
      <c r="F181" s="11"/>
      <c r="G181" s="11"/>
      <c r="H181" s="11"/>
      <c r="I181" s="11"/>
      <c r="J181" s="249"/>
      <c r="K181" s="72"/>
      <c r="L181" s="73"/>
      <c r="M181" s="73"/>
      <c r="N181" s="74"/>
      <c r="O181" s="75"/>
      <c r="P181" s="73"/>
      <c r="Q181" s="76"/>
      <c r="R181" s="76"/>
      <c r="S181" s="76"/>
      <c r="T181" s="76"/>
      <c r="U181" s="76"/>
      <c r="V181" s="76"/>
      <c r="W181" s="76"/>
      <c r="X181" s="76"/>
      <c r="Y181" s="76"/>
      <c r="Z181" s="77"/>
      <c r="AA181" s="77"/>
      <c r="AB181" s="77"/>
      <c r="AC181" s="77"/>
      <c r="AD181" s="77"/>
      <c r="AE181" s="77"/>
      <c r="AF181" s="77"/>
      <c r="AG181" s="77"/>
      <c r="AH181" s="78"/>
      <c r="AI181" s="78"/>
      <c r="AJ181" s="78"/>
      <c r="AK181" s="78"/>
      <c r="AL181" s="78"/>
      <c r="AM181" s="78"/>
      <c r="AN181" s="76"/>
      <c r="AO181" s="76"/>
      <c r="AP181" s="76"/>
      <c r="AQ181" s="76"/>
      <c r="AR181" s="76"/>
      <c r="AS181" s="76"/>
      <c r="AT181" s="76"/>
      <c r="AU181" s="76"/>
      <c r="AV181" s="76"/>
      <c r="AW181" s="79"/>
      <c r="AX181" s="79"/>
      <c r="AY181" s="79"/>
      <c r="AZ181" s="79"/>
      <c r="BA181" s="79"/>
      <c r="BB181" s="11"/>
      <c r="BC181" s="11"/>
      <c r="BD181" s="11"/>
      <c r="BE181" s="73"/>
      <c r="BF181" s="73"/>
      <c r="BG181" s="73"/>
      <c r="BH181" s="77"/>
      <c r="BI181" s="77"/>
      <c r="BJ181" s="77"/>
      <c r="BK181" s="77"/>
      <c r="BL181" s="77"/>
      <c r="BM181" s="77"/>
      <c r="BN181" s="158"/>
      <c r="BO181" s="158"/>
    </row>
    <row r="182" spans="1:67" ht="15" x14ac:dyDescent="0.25">
      <c r="A182" s="71"/>
      <c r="B182" s="11"/>
      <c r="C182" s="11"/>
      <c r="D182" s="11"/>
      <c r="E182" s="11"/>
      <c r="F182" s="11"/>
      <c r="G182" s="11"/>
      <c r="H182" s="11"/>
      <c r="I182" s="11"/>
      <c r="J182" s="249"/>
      <c r="K182" s="72"/>
      <c r="L182" s="73"/>
      <c r="M182" s="73"/>
      <c r="N182" s="74"/>
      <c r="O182" s="75"/>
      <c r="P182" s="73"/>
      <c r="Q182" s="76"/>
      <c r="R182" s="76"/>
      <c r="S182" s="76"/>
      <c r="T182" s="76"/>
      <c r="U182" s="76"/>
      <c r="V182" s="76"/>
      <c r="W182" s="76"/>
      <c r="X182" s="76"/>
      <c r="Y182" s="76"/>
      <c r="Z182" s="77"/>
      <c r="AA182" s="77"/>
      <c r="AB182" s="77"/>
      <c r="AC182" s="77"/>
      <c r="AD182" s="77"/>
      <c r="AE182" s="77"/>
      <c r="AF182" s="77"/>
      <c r="AG182" s="77"/>
      <c r="AH182" s="78"/>
      <c r="AI182" s="78"/>
      <c r="AJ182" s="78"/>
      <c r="AK182" s="78"/>
      <c r="AL182" s="78"/>
      <c r="AM182" s="78"/>
      <c r="AN182" s="76"/>
      <c r="AO182" s="76"/>
      <c r="AP182" s="76"/>
      <c r="AQ182" s="76"/>
      <c r="AR182" s="76"/>
      <c r="AS182" s="76"/>
      <c r="AT182" s="76"/>
      <c r="AU182" s="76"/>
      <c r="AV182" s="76"/>
      <c r="AW182" s="79"/>
      <c r="AX182" s="79"/>
      <c r="AY182" s="79"/>
      <c r="AZ182" s="79"/>
      <c r="BA182" s="79"/>
      <c r="BB182" s="11"/>
      <c r="BC182" s="11"/>
      <c r="BD182" s="11"/>
      <c r="BE182" s="73"/>
      <c r="BF182" s="73"/>
      <c r="BG182" s="73"/>
      <c r="BH182" s="77"/>
      <c r="BI182" s="77"/>
      <c r="BJ182" s="77"/>
      <c r="BK182" s="77"/>
      <c r="BL182" s="77"/>
      <c r="BM182" s="77"/>
      <c r="BN182" s="158"/>
      <c r="BO182" s="158"/>
    </row>
    <row r="183" spans="1:67" ht="15" x14ac:dyDescent="0.25">
      <c r="A183" s="71"/>
      <c r="B183" s="11"/>
      <c r="C183" s="11"/>
      <c r="D183" s="11"/>
      <c r="E183" s="11"/>
      <c r="F183" s="11"/>
      <c r="G183" s="11"/>
      <c r="H183" s="11"/>
      <c r="I183" s="11"/>
      <c r="J183" s="249"/>
      <c r="K183" s="72"/>
      <c r="L183" s="73"/>
      <c r="M183" s="73"/>
      <c r="N183" s="74"/>
      <c r="O183" s="75"/>
      <c r="P183" s="73"/>
      <c r="Q183" s="76"/>
      <c r="R183" s="76"/>
      <c r="S183" s="76"/>
      <c r="T183" s="76"/>
      <c r="U183" s="76"/>
      <c r="V183" s="76"/>
      <c r="W183" s="76"/>
      <c r="X183" s="76"/>
      <c r="Y183" s="76"/>
      <c r="Z183" s="77"/>
      <c r="AA183" s="77"/>
      <c r="AB183" s="77"/>
      <c r="AC183" s="77"/>
      <c r="AD183" s="77"/>
      <c r="AE183" s="77"/>
      <c r="AF183" s="77"/>
      <c r="AG183" s="77"/>
      <c r="AH183" s="78"/>
      <c r="AI183" s="78"/>
      <c r="AJ183" s="78"/>
      <c r="AK183" s="78"/>
      <c r="AL183" s="78"/>
      <c r="AM183" s="78"/>
      <c r="AN183" s="76"/>
      <c r="AO183" s="76"/>
      <c r="AP183" s="76"/>
      <c r="AQ183" s="76"/>
      <c r="AR183" s="76"/>
      <c r="AS183" s="76"/>
      <c r="AT183" s="76"/>
      <c r="AU183" s="76"/>
      <c r="AV183" s="76"/>
      <c r="AW183" s="79"/>
      <c r="AX183" s="79"/>
      <c r="AY183" s="79"/>
      <c r="AZ183" s="79"/>
      <c r="BA183" s="79"/>
      <c r="BB183" s="11"/>
      <c r="BC183" s="11"/>
      <c r="BD183" s="11"/>
      <c r="BE183" s="73"/>
      <c r="BF183" s="73"/>
      <c r="BG183" s="73"/>
      <c r="BH183" s="77"/>
      <c r="BI183" s="77"/>
      <c r="BJ183" s="77"/>
      <c r="BK183" s="77"/>
      <c r="BL183" s="77"/>
      <c r="BM183" s="77"/>
      <c r="BN183" s="158"/>
      <c r="BO183" s="158"/>
    </row>
    <row r="184" spans="1:67" ht="15" x14ac:dyDescent="0.25">
      <c r="A184" s="71"/>
      <c r="B184" s="11"/>
      <c r="C184" s="11"/>
      <c r="D184" s="11"/>
      <c r="E184" s="11"/>
      <c r="F184" s="11"/>
      <c r="G184" s="11"/>
      <c r="H184" s="11"/>
      <c r="I184" s="11"/>
      <c r="J184" s="249"/>
      <c r="K184" s="72"/>
      <c r="L184" s="73"/>
      <c r="M184" s="73"/>
      <c r="N184" s="74"/>
      <c r="O184" s="75"/>
      <c r="P184" s="73"/>
      <c r="Q184" s="76"/>
      <c r="R184" s="76"/>
      <c r="S184" s="76"/>
      <c r="T184" s="76"/>
      <c r="U184" s="76"/>
      <c r="V184" s="76"/>
      <c r="W184" s="76"/>
      <c r="X184" s="76"/>
      <c r="Y184" s="76"/>
      <c r="Z184" s="77"/>
      <c r="AA184" s="77"/>
      <c r="AB184" s="77"/>
      <c r="AC184" s="77"/>
      <c r="AD184" s="77"/>
      <c r="AE184" s="77"/>
      <c r="AF184" s="77"/>
      <c r="AG184" s="77"/>
      <c r="AH184" s="78"/>
      <c r="AI184" s="78"/>
      <c r="AJ184" s="78"/>
      <c r="AK184" s="78"/>
      <c r="AL184" s="78"/>
      <c r="AM184" s="78"/>
      <c r="AN184" s="76"/>
      <c r="AO184" s="76"/>
      <c r="AP184" s="76"/>
      <c r="AQ184" s="76"/>
      <c r="AR184" s="76"/>
      <c r="AS184" s="76"/>
      <c r="AT184" s="76"/>
      <c r="AU184" s="76"/>
      <c r="AV184" s="76"/>
      <c r="AW184" s="79"/>
      <c r="AX184" s="79"/>
      <c r="AY184" s="79"/>
      <c r="AZ184" s="79"/>
      <c r="BA184" s="79"/>
      <c r="BB184" s="11"/>
      <c r="BC184" s="11"/>
      <c r="BD184" s="11"/>
      <c r="BE184" s="73"/>
      <c r="BF184" s="73"/>
      <c r="BG184" s="73"/>
      <c r="BH184" s="77"/>
      <c r="BI184" s="77"/>
      <c r="BJ184" s="77"/>
      <c r="BK184" s="77"/>
      <c r="BL184" s="77"/>
      <c r="BM184" s="77"/>
      <c r="BN184" s="158"/>
      <c r="BO184" s="158"/>
    </row>
    <row r="185" spans="1:67" ht="15" x14ac:dyDescent="0.25">
      <c r="A185" s="71"/>
      <c r="B185" s="11"/>
      <c r="C185" s="11"/>
      <c r="D185" s="11"/>
      <c r="E185" s="11"/>
      <c r="F185" s="11"/>
      <c r="G185" s="11"/>
      <c r="H185" s="11"/>
      <c r="I185" s="11"/>
      <c r="J185" s="249"/>
      <c r="K185" s="72"/>
      <c r="L185" s="73"/>
      <c r="M185" s="73"/>
      <c r="N185" s="74"/>
      <c r="O185" s="75"/>
      <c r="P185" s="73"/>
      <c r="Q185" s="76"/>
      <c r="R185" s="76"/>
      <c r="S185" s="76"/>
      <c r="T185" s="76"/>
      <c r="U185" s="76"/>
      <c r="V185" s="76"/>
      <c r="W185" s="76"/>
      <c r="X185" s="76"/>
      <c r="Y185" s="76"/>
      <c r="Z185" s="77"/>
      <c r="AA185" s="77"/>
      <c r="AB185" s="77"/>
      <c r="AC185" s="77"/>
      <c r="AD185" s="77"/>
      <c r="AE185" s="77"/>
      <c r="AF185" s="77"/>
      <c r="AG185" s="77"/>
      <c r="AH185" s="78"/>
      <c r="AI185" s="78"/>
      <c r="AJ185" s="78"/>
      <c r="AK185" s="78"/>
      <c r="AL185" s="78"/>
      <c r="AM185" s="78"/>
      <c r="AN185" s="76"/>
      <c r="AO185" s="76"/>
      <c r="AP185" s="76"/>
      <c r="AQ185" s="76"/>
      <c r="AR185" s="76"/>
      <c r="AS185" s="76"/>
      <c r="AT185" s="76"/>
      <c r="AU185" s="76"/>
      <c r="AV185" s="76"/>
      <c r="AW185" s="79"/>
      <c r="AX185" s="79"/>
      <c r="AY185" s="79"/>
      <c r="AZ185" s="79"/>
      <c r="BA185" s="79"/>
      <c r="BB185" s="11"/>
      <c r="BC185" s="11"/>
      <c r="BD185" s="11"/>
      <c r="BE185" s="73"/>
      <c r="BF185" s="73"/>
      <c r="BG185" s="73"/>
      <c r="BH185" s="77"/>
      <c r="BI185" s="77"/>
      <c r="BJ185" s="77"/>
      <c r="BK185" s="77"/>
      <c r="BL185" s="77"/>
      <c r="BM185" s="77"/>
      <c r="BN185" s="158"/>
      <c r="BO185" s="158"/>
    </row>
    <row r="186" spans="1:67" ht="15" x14ac:dyDescent="0.25">
      <c r="A186" s="71"/>
      <c r="B186" s="11"/>
      <c r="C186" s="11"/>
      <c r="D186" s="11"/>
      <c r="E186" s="11"/>
      <c r="F186" s="11"/>
      <c r="G186" s="11"/>
      <c r="H186" s="11"/>
      <c r="I186" s="11"/>
      <c r="J186" s="249"/>
      <c r="K186" s="72"/>
      <c r="L186" s="73"/>
      <c r="M186" s="73"/>
      <c r="N186" s="74"/>
      <c r="O186" s="75"/>
      <c r="P186" s="73"/>
      <c r="Q186" s="76"/>
      <c r="R186" s="76"/>
      <c r="S186" s="76"/>
      <c r="T186" s="76"/>
      <c r="U186" s="76"/>
      <c r="V186" s="76"/>
      <c r="W186" s="76"/>
      <c r="X186" s="76"/>
      <c r="Y186" s="76"/>
      <c r="Z186" s="77"/>
      <c r="AA186" s="77"/>
      <c r="AB186" s="77"/>
      <c r="AC186" s="77"/>
      <c r="AD186" s="77"/>
      <c r="AE186" s="77"/>
      <c r="AF186" s="77"/>
      <c r="AG186" s="77"/>
      <c r="AH186" s="78"/>
      <c r="AI186" s="78"/>
      <c r="AJ186" s="78"/>
      <c r="AK186" s="78"/>
      <c r="AL186" s="78"/>
      <c r="AM186" s="78"/>
      <c r="AN186" s="76"/>
      <c r="AO186" s="76"/>
      <c r="AP186" s="76"/>
      <c r="AQ186" s="76"/>
      <c r="AR186" s="76"/>
      <c r="AS186" s="76"/>
      <c r="AT186" s="76"/>
      <c r="AU186" s="76"/>
      <c r="AV186" s="76"/>
      <c r="AW186" s="79"/>
      <c r="AX186" s="79"/>
      <c r="AY186" s="79"/>
      <c r="AZ186" s="79"/>
      <c r="BA186" s="79"/>
      <c r="BB186" s="11"/>
      <c r="BC186" s="11"/>
      <c r="BD186" s="11"/>
      <c r="BE186" s="73"/>
      <c r="BF186" s="73"/>
      <c r="BG186" s="73"/>
      <c r="BH186" s="77"/>
      <c r="BI186" s="77"/>
      <c r="BJ186" s="77"/>
      <c r="BK186" s="77"/>
      <c r="BL186" s="77"/>
      <c r="BM186" s="77"/>
      <c r="BN186" s="158"/>
      <c r="BO186" s="158"/>
    </row>
    <row r="187" spans="1:67" ht="15" x14ac:dyDescent="0.25">
      <c r="A187" s="71"/>
      <c r="B187" s="11"/>
      <c r="C187" s="11"/>
      <c r="D187" s="11"/>
      <c r="E187" s="11"/>
      <c r="F187" s="11"/>
      <c r="G187" s="11"/>
      <c r="H187" s="11"/>
      <c r="I187" s="11"/>
      <c r="J187" s="249"/>
      <c r="K187" s="72"/>
      <c r="L187" s="73"/>
      <c r="M187" s="73"/>
      <c r="N187" s="74"/>
      <c r="O187" s="75"/>
      <c r="P187" s="73"/>
      <c r="Q187" s="76"/>
      <c r="R187" s="76"/>
      <c r="S187" s="76"/>
      <c r="T187" s="76"/>
      <c r="U187" s="76"/>
      <c r="V187" s="76"/>
      <c r="W187" s="76"/>
      <c r="X187" s="76"/>
      <c r="Y187" s="76"/>
      <c r="Z187" s="77"/>
      <c r="AA187" s="77"/>
      <c r="AB187" s="77"/>
      <c r="AC187" s="77"/>
      <c r="AD187" s="77"/>
      <c r="AE187" s="77"/>
      <c r="AF187" s="77"/>
      <c r="AG187" s="77"/>
      <c r="AH187" s="78"/>
      <c r="AI187" s="78"/>
      <c r="AJ187" s="78"/>
      <c r="AK187" s="78"/>
      <c r="AL187" s="78"/>
      <c r="AM187" s="78"/>
      <c r="AN187" s="76"/>
      <c r="AO187" s="76"/>
      <c r="AP187" s="76"/>
      <c r="AQ187" s="76"/>
      <c r="AR187" s="76"/>
      <c r="AS187" s="76"/>
      <c r="AT187" s="76"/>
      <c r="AU187" s="76"/>
      <c r="AV187" s="76"/>
      <c r="AW187" s="79"/>
      <c r="AX187" s="79"/>
      <c r="AY187" s="79"/>
      <c r="AZ187" s="79"/>
      <c r="BA187" s="79"/>
      <c r="BB187" s="11"/>
      <c r="BC187" s="11"/>
      <c r="BD187" s="11"/>
      <c r="BE187" s="73"/>
      <c r="BF187" s="73"/>
      <c r="BG187" s="73"/>
      <c r="BH187" s="77"/>
      <c r="BI187" s="77"/>
      <c r="BJ187" s="77"/>
      <c r="BK187" s="77"/>
      <c r="BL187" s="77"/>
      <c r="BM187" s="77"/>
      <c r="BN187" s="158"/>
      <c r="BO187" s="158"/>
    </row>
    <row r="188" spans="1:67" ht="15" x14ac:dyDescent="0.25">
      <c r="A188" s="71"/>
      <c r="B188" s="11"/>
      <c r="C188" s="11"/>
      <c r="D188" s="11"/>
      <c r="E188" s="11"/>
      <c r="F188" s="11"/>
      <c r="G188" s="11"/>
      <c r="H188" s="11"/>
      <c r="I188" s="11"/>
      <c r="J188" s="249"/>
      <c r="K188" s="72"/>
      <c r="L188" s="73"/>
      <c r="M188" s="73"/>
      <c r="N188" s="74"/>
      <c r="O188" s="75"/>
      <c r="P188" s="73"/>
      <c r="Q188" s="76"/>
      <c r="R188" s="76"/>
      <c r="S188" s="76"/>
      <c r="T188" s="76"/>
      <c r="U188" s="76"/>
      <c r="V188" s="76"/>
      <c r="W188" s="76"/>
      <c r="X188" s="76"/>
      <c r="Y188" s="76"/>
      <c r="Z188" s="77"/>
      <c r="AA188" s="77"/>
      <c r="AB188" s="77"/>
      <c r="AC188" s="77"/>
      <c r="AD188" s="77"/>
      <c r="AE188" s="77"/>
      <c r="AF188" s="77"/>
      <c r="AG188" s="77"/>
      <c r="AH188" s="78"/>
      <c r="AI188" s="78"/>
      <c r="AJ188" s="78"/>
      <c r="AK188" s="78"/>
      <c r="AL188" s="78"/>
      <c r="AM188" s="78"/>
      <c r="AN188" s="76"/>
      <c r="AO188" s="76"/>
      <c r="AP188" s="76"/>
      <c r="AQ188" s="76"/>
      <c r="AR188" s="76"/>
      <c r="AS188" s="76"/>
      <c r="AT188" s="76"/>
      <c r="AU188" s="76"/>
      <c r="AV188" s="76"/>
      <c r="AW188" s="79"/>
      <c r="AX188" s="79"/>
      <c r="AY188" s="79"/>
      <c r="AZ188" s="79"/>
      <c r="BA188" s="79"/>
      <c r="BB188" s="11"/>
      <c r="BC188" s="11"/>
      <c r="BD188" s="11"/>
      <c r="BE188" s="73"/>
      <c r="BF188" s="73"/>
      <c r="BG188" s="73"/>
      <c r="BH188" s="77"/>
      <c r="BI188" s="77"/>
      <c r="BJ188" s="77"/>
      <c r="BK188" s="77"/>
      <c r="BL188" s="77"/>
      <c r="BM188" s="77"/>
      <c r="BN188" s="158"/>
      <c r="BO188" s="158"/>
    </row>
    <row r="189" spans="1:67" ht="15" x14ac:dyDescent="0.25">
      <c r="A189" s="71"/>
      <c r="B189" s="11"/>
      <c r="C189" s="11"/>
      <c r="D189" s="11"/>
      <c r="E189" s="11"/>
      <c r="F189" s="11"/>
      <c r="G189" s="11"/>
      <c r="H189" s="11"/>
      <c r="I189" s="11"/>
      <c r="J189" s="249"/>
      <c r="K189" s="72"/>
      <c r="L189" s="73"/>
      <c r="M189" s="73"/>
      <c r="N189" s="74"/>
      <c r="O189" s="75"/>
      <c r="P189" s="73"/>
      <c r="Q189" s="76"/>
      <c r="R189" s="76"/>
      <c r="S189" s="76"/>
      <c r="T189" s="76"/>
      <c r="U189" s="76"/>
      <c r="V189" s="76"/>
      <c r="W189" s="76"/>
      <c r="X189" s="76"/>
      <c r="Y189" s="76"/>
      <c r="Z189" s="77"/>
      <c r="AA189" s="77"/>
      <c r="AB189" s="77"/>
      <c r="AC189" s="77"/>
      <c r="AD189" s="77"/>
      <c r="AE189" s="77"/>
      <c r="AF189" s="77"/>
      <c r="AG189" s="77"/>
      <c r="AH189" s="78"/>
      <c r="AI189" s="78"/>
      <c r="AJ189" s="78"/>
      <c r="AK189" s="78"/>
      <c r="AL189" s="78"/>
      <c r="AM189" s="78"/>
      <c r="AN189" s="76"/>
      <c r="AO189" s="76"/>
      <c r="AP189" s="76"/>
      <c r="AQ189" s="76"/>
      <c r="AR189" s="76"/>
      <c r="AS189" s="76"/>
      <c r="AT189" s="76"/>
      <c r="AU189" s="76"/>
      <c r="AV189" s="76"/>
      <c r="AW189" s="79"/>
      <c r="AX189" s="79"/>
      <c r="AY189" s="79"/>
      <c r="AZ189" s="79"/>
      <c r="BA189" s="79"/>
      <c r="BB189" s="11"/>
      <c r="BC189" s="11"/>
      <c r="BD189" s="11"/>
      <c r="BE189" s="73"/>
      <c r="BF189" s="73"/>
      <c r="BG189" s="73"/>
      <c r="BH189" s="77"/>
      <c r="BI189" s="77"/>
      <c r="BJ189" s="77"/>
      <c r="BK189" s="77"/>
      <c r="BL189" s="77"/>
      <c r="BM189" s="77"/>
      <c r="BN189" s="158"/>
      <c r="BO189" s="158"/>
    </row>
    <row r="190" spans="1:67" ht="15" x14ac:dyDescent="0.25">
      <c r="A190" s="71"/>
      <c r="B190" s="11"/>
      <c r="C190" s="11"/>
      <c r="D190" s="11"/>
      <c r="E190" s="11"/>
      <c r="F190" s="11"/>
      <c r="G190" s="11"/>
      <c r="H190" s="11"/>
      <c r="I190" s="11"/>
      <c r="J190" s="249"/>
      <c r="K190" s="72"/>
      <c r="L190" s="73"/>
      <c r="M190" s="73"/>
      <c r="N190" s="74"/>
      <c r="O190" s="75"/>
      <c r="P190" s="73"/>
      <c r="Q190" s="76"/>
      <c r="R190" s="76"/>
      <c r="S190" s="76"/>
      <c r="T190" s="76"/>
      <c r="U190" s="76"/>
      <c r="V190" s="76"/>
      <c r="W190" s="76"/>
      <c r="X190" s="76"/>
      <c r="Y190" s="76"/>
      <c r="Z190" s="77"/>
      <c r="AA190" s="77"/>
      <c r="AB190" s="77"/>
      <c r="AC190" s="77"/>
      <c r="AD190" s="77"/>
      <c r="AE190" s="77"/>
      <c r="AF190" s="77"/>
      <c r="AG190" s="77"/>
      <c r="AH190" s="78"/>
      <c r="AI190" s="78"/>
      <c r="AJ190" s="78"/>
      <c r="AK190" s="78"/>
      <c r="AL190" s="78"/>
      <c r="AM190" s="78"/>
      <c r="AN190" s="76"/>
      <c r="AO190" s="76"/>
      <c r="AP190" s="76"/>
      <c r="AQ190" s="76"/>
      <c r="AR190" s="76"/>
      <c r="AS190" s="76"/>
      <c r="AT190" s="76"/>
      <c r="AU190" s="76"/>
      <c r="AV190" s="76"/>
      <c r="AW190" s="79"/>
      <c r="AX190" s="79"/>
      <c r="AY190" s="79"/>
      <c r="AZ190" s="79"/>
      <c r="BA190" s="79"/>
      <c r="BB190" s="11"/>
      <c r="BC190" s="11"/>
      <c r="BD190" s="11"/>
      <c r="BE190" s="73"/>
      <c r="BF190" s="73"/>
      <c r="BG190" s="73"/>
      <c r="BH190" s="77"/>
      <c r="BI190" s="77"/>
      <c r="BJ190" s="77"/>
      <c r="BK190" s="77"/>
      <c r="BL190" s="77"/>
      <c r="BM190" s="77"/>
      <c r="BN190" s="158"/>
      <c r="BO190" s="158"/>
    </row>
    <row r="191" spans="1:67" ht="15" x14ac:dyDescent="0.25">
      <c r="A191" s="71"/>
      <c r="B191" s="11"/>
      <c r="C191" s="11"/>
      <c r="D191" s="11"/>
      <c r="E191" s="11"/>
      <c r="F191" s="11"/>
      <c r="G191" s="11"/>
      <c r="H191" s="11"/>
      <c r="I191" s="11"/>
      <c r="J191" s="249"/>
      <c r="K191" s="72"/>
      <c r="L191" s="73"/>
      <c r="M191" s="73"/>
      <c r="N191" s="74"/>
      <c r="O191" s="75"/>
      <c r="P191" s="73"/>
      <c r="Q191" s="76"/>
      <c r="R191" s="76"/>
      <c r="S191" s="76"/>
      <c r="T191" s="76"/>
      <c r="U191" s="76"/>
      <c r="V191" s="76"/>
      <c r="W191" s="76"/>
      <c r="X191" s="76"/>
      <c r="Y191" s="76"/>
      <c r="Z191" s="77"/>
      <c r="AA191" s="77"/>
      <c r="AB191" s="77"/>
      <c r="AC191" s="77"/>
      <c r="AD191" s="77"/>
      <c r="AE191" s="77"/>
      <c r="AF191" s="77"/>
      <c r="AG191" s="77"/>
      <c r="AH191" s="78"/>
      <c r="AI191" s="78"/>
      <c r="AJ191" s="78"/>
      <c r="AK191" s="78"/>
      <c r="AL191" s="78"/>
      <c r="AM191" s="78"/>
      <c r="AN191" s="76"/>
      <c r="AO191" s="76"/>
      <c r="AP191" s="76"/>
      <c r="AQ191" s="76"/>
      <c r="AR191" s="76"/>
      <c r="AS191" s="76"/>
      <c r="AT191" s="76"/>
      <c r="AU191" s="76"/>
      <c r="AV191" s="76"/>
      <c r="AW191" s="79"/>
      <c r="AX191" s="79"/>
      <c r="AY191" s="79"/>
      <c r="AZ191" s="79"/>
      <c r="BA191" s="79"/>
      <c r="BB191" s="11"/>
      <c r="BC191" s="11"/>
      <c r="BD191" s="11"/>
      <c r="BE191" s="73"/>
      <c r="BF191" s="73"/>
      <c r="BG191" s="73"/>
      <c r="BH191" s="77"/>
      <c r="BI191" s="77"/>
      <c r="BJ191" s="77"/>
      <c r="BK191" s="77"/>
      <c r="BL191" s="77"/>
      <c r="BM191" s="77"/>
      <c r="BN191" s="158"/>
      <c r="BO191" s="158"/>
    </row>
    <row r="192" spans="1:67" ht="15" x14ac:dyDescent="0.25">
      <c r="A192" s="71"/>
      <c r="B192" s="11"/>
      <c r="C192" s="11"/>
      <c r="D192" s="11"/>
      <c r="E192" s="11"/>
      <c r="F192" s="11"/>
      <c r="G192" s="11"/>
      <c r="H192" s="11"/>
      <c r="I192" s="11"/>
      <c r="J192" s="249"/>
      <c r="K192" s="72"/>
      <c r="L192" s="73"/>
      <c r="M192" s="73"/>
      <c r="N192" s="74"/>
      <c r="O192" s="75"/>
      <c r="P192" s="73"/>
      <c r="Q192" s="76"/>
      <c r="R192" s="76"/>
      <c r="S192" s="76"/>
      <c r="T192" s="76"/>
      <c r="U192" s="76"/>
      <c r="V192" s="76"/>
      <c r="W192" s="76"/>
      <c r="X192" s="76"/>
      <c r="Y192" s="76"/>
      <c r="Z192" s="77"/>
      <c r="AA192" s="77"/>
      <c r="AB192" s="77"/>
      <c r="AC192" s="77"/>
      <c r="AD192" s="77"/>
      <c r="AE192" s="77"/>
      <c r="AF192" s="77"/>
      <c r="AG192" s="77"/>
      <c r="AH192" s="78"/>
      <c r="AI192" s="78"/>
      <c r="AJ192" s="78"/>
      <c r="AK192" s="78"/>
      <c r="AL192" s="78"/>
      <c r="AM192" s="78"/>
      <c r="AN192" s="76"/>
      <c r="AO192" s="76"/>
      <c r="AP192" s="76"/>
      <c r="AQ192" s="76"/>
      <c r="AR192" s="76"/>
      <c r="AS192" s="76"/>
      <c r="AT192" s="76"/>
      <c r="AU192" s="76"/>
      <c r="AV192" s="76"/>
      <c r="AW192" s="79"/>
      <c r="AX192" s="79"/>
      <c r="AY192" s="79"/>
      <c r="AZ192" s="79"/>
      <c r="BA192" s="79"/>
      <c r="BB192" s="11"/>
      <c r="BC192" s="11"/>
      <c r="BD192" s="11"/>
      <c r="BE192" s="73"/>
      <c r="BF192" s="73"/>
      <c r="BG192" s="73"/>
      <c r="BH192" s="77"/>
      <c r="BI192" s="77"/>
      <c r="BJ192" s="77"/>
      <c r="BK192" s="77"/>
      <c r="BL192" s="77"/>
      <c r="BM192" s="77"/>
      <c r="BN192" s="158"/>
      <c r="BO192" s="158"/>
    </row>
    <row r="193" spans="1:67" ht="15" x14ac:dyDescent="0.25">
      <c r="A193" s="71"/>
      <c r="B193" s="11"/>
      <c r="C193" s="11"/>
      <c r="D193" s="11"/>
      <c r="E193" s="11"/>
      <c r="F193" s="11"/>
      <c r="G193" s="11"/>
      <c r="H193" s="11"/>
      <c r="I193" s="11"/>
      <c r="J193" s="249"/>
      <c r="K193" s="72"/>
      <c r="L193" s="73"/>
      <c r="M193" s="73"/>
      <c r="N193" s="74"/>
      <c r="O193" s="75"/>
      <c r="P193" s="73"/>
      <c r="Q193" s="76"/>
      <c r="R193" s="76"/>
      <c r="S193" s="76"/>
      <c r="T193" s="76"/>
      <c r="U193" s="76"/>
      <c r="V193" s="76"/>
      <c r="W193" s="76"/>
      <c r="X193" s="76"/>
      <c r="Y193" s="76"/>
      <c r="Z193" s="77"/>
      <c r="AA193" s="77"/>
      <c r="AB193" s="77"/>
      <c r="AC193" s="77"/>
      <c r="AD193" s="77"/>
      <c r="AE193" s="77"/>
      <c r="AF193" s="77"/>
      <c r="AG193" s="77"/>
      <c r="AH193" s="78"/>
      <c r="AI193" s="78"/>
      <c r="AJ193" s="78"/>
      <c r="AK193" s="78"/>
      <c r="AL193" s="78"/>
      <c r="AM193" s="78"/>
      <c r="AN193" s="76"/>
      <c r="AO193" s="76"/>
      <c r="AP193" s="76"/>
      <c r="AQ193" s="76"/>
      <c r="AR193" s="76"/>
      <c r="AS193" s="76"/>
      <c r="AT193" s="76"/>
      <c r="AU193" s="76"/>
      <c r="AV193" s="76"/>
      <c r="AW193" s="79"/>
      <c r="AX193" s="79"/>
      <c r="AY193" s="79"/>
      <c r="AZ193" s="79"/>
      <c r="BA193" s="79"/>
      <c r="BB193" s="11"/>
      <c r="BC193" s="11"/>
      <c r="BD193" s="11"/>
      <c r="BE193" s="73"/>
      <c r="BF193" s="73"/>
      <c r="BG193" s="73"/>
      <c r="BH193" s="77"/>
      <c r="BI193" s="77"/>
      <c r="BJ193" s="77"/>
      <c r="BK193" s="77"/>
      <c r="BL193" s="77"/>
      <c r="BM193" s="77"/>
      <c r="BN193" s="158"/>
      <c r="BO193" s="158"/>
    </row>
    <row r="194" spans="1:67" ht="15" x14ac:dyDescent="0.25">
      <c r="A194" s="71"/>
      <c r="B194" s="11"/>
      <c r="C194" s="11"/>
      <c r="D194" s="11"/>
      <c r="E194" s="11"/>
      <c r="F194" s="11"/>
      <c r="G194" s="11"/>
      <c r="H194" s="11"/>
      <c r="I194" s="11"/>
      <c r="J194" s="249"/>
      <c r="K194" s="72"/>
      <c r="L194" s="73"/>
      <c r="M194" s="73"/>
      <c r="N194" s="74"/>
      <c r="O194" s="75"/>
      <c r="P194" s="73"/>
      <c r="Q194" s="76"/>
      <c r="R194" s="76"/>
      <c r="S194" s="76"/>
      <c r="T194" s="76"/>
      <c r="U194" s="76"/>
      <c r="V194" s="76"/>
      <c r="W194" s="76"/>
      <c r="X194" s="76"/>
      <c r="Y194" s="76"/>
      <c r="Z194" s="77"/>
      <c r="AA194" s="77"/>
      <c r="AB194" s="77"/>
      <c r="AC194" s="77"/>
      <c r="AD194" s="77"/>
      <c r="AE194" s="77"/>
      <c r="AF194" s="77"/>
      <c r="AG194" s="77"/>
      <c r="AH194" s="78"/>
      <c r="AI194" s="78"/>
      <c r="AJ194" s="78"/>
      <c r="AK194" s="78"/>
      <c r="AL194" s="78"/>
      <c r="AM194" s="78"/>
      <c r="AN194" s="76"/>
      <c r="AO194" s="76"/>
      <c r="AP194" s="76"/>
      <c r="AQ194" s="76"/>
      <c r="AR194" s="76"/>
      <c r="AS194" s="76"/>
      <c r="AT194" s="76"/>
      <c r="AU194" s="76"/>
      <c r="AV194" s="76"/>
      <c r="AW194" s="79"/>
      <c r="AX194" s="79"/>
      <c r="AY194" s="79"/>
      <c r="AZ194" s="79"/>
      <c r="BA194" s="79"/>
      <c r="BB194" s="11"/>
      <c r="BC194" s="11"/>
      <c r="BD194" s="11"/>
      <c r="BE194" s="73"/>
      <c r="BF194" s="73"/>
      <c r="BG194" s="73"/>
      <c r="BH194" s="77"/>
      <c r="BI194" s="77"/>
      <c r="BJ194" s="77"/>
      <c r="BK194" s="77"/>
      <c r="BL194" s="77"/>
      <c r="BM194" s="77"/>
      <c r="BN194" s="158"/>
      <c r="BO194" s="158"/>
    </row>
    <row r="195" spans="1:67" ht="15" x14ac:dyDescent="0.25">
      <c r="A195" s="71"/>
      <c r="B195" s="11"/>
      <c r="C195" s="11"/>
      <c r="D195" s="11"/>
      <c r="E195" s="11"/>
      <c r="F195" s="11"/>
      <c r="G195" s="11"/>
      <c r="H195" s="11"/>
      <c r="I195" s="11"/>
      <c r="J195" s="249"/>
      <c r="K195" s="72"/>
      <c r="L195" s="73"/>
      <c r="M195" s="73"/>
      <c r="N195" s="74"/>
      <c r="O195" s="75"/>
      <c r="P195" s="73"/>
      <c r="Q195" s="76"/>
      <c r="R195" s="76"/>
      <c r="S195" s="76"/>
      <c r="T195" s="76"/>
      <c r="U195" s="76"/>
      <c r="V195" s="76"/>
      <c r="W195" s="76"/>
      <c r="X195" s="76"/>
      <c r="Y195" s="76"/>
      <c r="Z195" s="77"/>
      <c r="AA195" s="77"/>
      <c r="AB195" s="77"/>
      <c r="AC195" s="77"/>
      <c r="AD195" s="77"/>
      <c r="AE195" s="77"/>
      <c r="AF195" s="77"/>
      <c r="AG195" s="77"/>
      <c r="AH195" s="78"/>
      <c r="AI195" s="78"/>
      <c r="AJ195" s="78"/>
      <c r="AK195" s="78"/>
      <c r="AL195" s="78"/>
      <c r="AM195" s="78"/>
      <c r="AN195" s="76"/>
      <c r="AO195" s="76"/>
      <c r="AP195" s="76"/>
      <c r="AQ195" s="76"/>
      <c r="AR195" s="76"/>
      <c r="AS195" s="76"/>
      <c r="AT195" s="76"/>
      <c r="AU195" s="76"/>
      <c r="AV195" s="76"/>
      <c r="AW195" s="79"/>
      <c r="AX195" s="79"/>
      <c r="AY195" s="79"/>
      <c r="AZ195" s="79"/>
      <c r="BA195" s="79"/>
      <c r="BB195" s="11"/>
      <c r="BC195" s="11"/>
      <c r="BD195" s="11"/>
      <c r="BE195" s="73"/>
      <c r="BF195" s="73"/>
      <c r="BG195" s="73"/>
      <c r="BH195" s="77"/>
      <c r="BI195" s="77"/>
      <c r="BJ195" s="77"/>
      <c r="BK195" s="77"/>
      <c r="BL195" s="77"/>
      <c r="BM195" s="77"/>
      <c r="BN195" s="158"/>
      <c r="BO195" s="158"/>
    </row>
    <row r="196" spans="1:67" ht="15" x14ac:dyDescent="0.25">
      <c r="A196" s="71"/>
      <c r="B196" s="11"/>
      <c r="C196" s="11"/>
      <c r="D196" s="11"/>
      <c r="E196" s="11"/>
      <c r="F196" s="11"/>
      <c r="G196" s="11"/>
      <c r="H196" s="11"/>
      <c r="I196" s="11"/>
      <c r="J196" s="249"/>
      <c r="K196" s="72"/>
      <c r="L196" s="73"/>
      <c r="M196" s="73"/>
      <c r="N196" s="74"/>
      <c r="O196" s="75"/>
      <c r="P196" s="73"/>
      <c r="Q196" s="76"/>
      <c r="R196" s="76"/>
      <c r="S196" s="76"/>
      <c r="T196" s="76"/>
      <c r="U196" s="76"/>
      <c r="V196" s="76"/>
      <c r="W196" s="76"/>
      <c r="X196" s="76"/>
      <c r="Y196" s="76"/>
      <c r="Z196" s="77"/>
      <c r="AA196" s="77"/>
      <c r="AB196" s="77"/>
      <c r="AC196" s="77"/>
      <c r="AD196" s="77"/>
      <c r="AE196" s="77"/>
      <c r="AF196" s="77"/>
      <c r="AG196" s="77"/>
      <c r="AH196" s="78"/>
      <c r="AI196" s="78"/>
      <c r="AJ196" s="78"/>
      <c r="AK196" s="78"/>
      <c r="AL196" s="78"/>
      <c r="AM196" s="78"/>
      <c r="AN196" s="76"/>
      <c r="AO196" s="76"/>
      <c r="AP196" s="76"/>
      <c r="AQ196" s="76"/>
      <c r="AR196" s="76"/>
      <c r="AS196" s="76"/>
      <c r="AT196" s="76"/>
      <c r="AU196" s="76"/>
      <c r="AV196" s="76"/>
      <c r="AW196" s="79"/>
      <c r="AX196" s="79"/>
      <c r="AY196" s="79"/>
      <c r="AZ196" s="79"/>
      <c r="BA196" s="79"/>
      <c r="BB196" s="11"/>
      <c r="BC196" s="11"/>
      <c r="BD196" s="11"/>
      <c r="BE196" s="73"/>
      <c r="BF196" s="73"/>
      <c r="BG196" s="73"/>
      <c r="BH196" s="77"/>
      <c r="BI196" s="77"/>
      <c r="BJ196" s="77"/>
      <c r="BK196" s="77"/>
      <c r="BL196" s="77"/>
      <c r="BM196" s="77"/>
      <c r="BN196" s="158"/>
      <c r="BO196" s="158"/>
    </row>
    <row r="197" spans="1:67" ht="15" x14ac:dyDescent="0.25">
      <c r="A197" s="71"/>
      <c r="B197" s="11"/>
      <c r="C197" s="11"/>
      <c r="D197" s="11"/>
      <c r="E197" s="11"/>
      <c r="F197" s="11"/>
      <c r="G197" s="11"/>
      <c r="H197" s="11"/>
      <c r="I197" s="11"/>
      <c r="J197" s="249"/>
      <c r="K197" s="72"/>
      <c r="L197" s="73"/>
      <c r="M197" s="73"/>
      <c r="N197" s="74"/>
      <c r="O197" s="75"/>
      <c r="P197" s="73"/>
      <c r="Q197" s="76"/>
      <c r="R197" s="76"/>
      <c r="S197" s="76"/>
      <c r="T197" s="76"/>
      <c r="U197" s="76"/>
      <c r="V197" s="76"/>
      <c r="W197" s="76"/>
      <c r="X197" s="76"/>
      <c r="Y197" s="76"/>
      <c r="Z197" s="77"/>
      <c r="AA197" s="77"/>
      <c r="AB197" s="77"/>
      <c r="AC197" s="77"/>
      <c r="AD197" s="77"/>
      <c r="AE197" s="77"/>
      <c r="AF197" s="77"/>
      <c r="AG197" s="77"/>
      <c r="AH197" s="78"/>
      <c r="AI197" s="78"/>
      <c r="AJ197" s="78"/>
      <c r="AK197" s="78"/>
      <c r="AL197" s="78"/>
      <c r="AM197" s="78"/>
      <c r="AN197" s="76"/>
      <c r="AO197" s="76"/>
      <c r="AP197" s="76"/>
      <c r="AQ197" s="76"/>
      <c r="AR197" s="76"/>
      <c r="AS197" s="76"/>
      <c r="AT197" s="76"/>
      <c r="AU197" s="76"/>
      <c r="AV197" s="76"/>
      <c r="AW197" s="79"/>
      <c r="AX197" s="79"/>
      <c r="AY197" s="79"/>
      <c r="AZ197" s="79"/>
      <c r="BA197" s="79"/>
      <c r="BB197" s="11"/>
      <c r="BC197" s="11"/>
      <c r="BD197" s="11"/>
      <c r="BE197" s="73"/>
      <c r="BF197" s="73"/>
      <c r="BG197" s="73"/>
      <c r="BH197" s="77"/>
      <c r="BI197" s="77"/>
      <c r="BJ197" s="77"/>
      <c r="BK197" s="77"/>
      <c r="BL197" s="77"/>
      <c r="BM197" s="77"/>
      <c r="BN197" s="158"/>
      <c r="BO197" s="158"/>
    </row>
    <row r="198" spans="1:67" ht="15" x14ac:dyDescent="0.25">
      <c r="A198" s="71"/>
      <c r="B198" s="11"/>
      <c r="C198" s="11"/>
      <c r="D198" s="11"/>
      <c r="E198" s="11"/>
      <c r="F198" s="11"/>
      <c r="G198" s="11"/>
      <c r="H198" s="11"/>
      <c r="I198" s="11"/>
      <c r="J198" s="249"/>
      <c r="K198" s="72"/>
      <c r="L198" s="73"/>
      <c r="M198" s="73"/>
      <c r="N198" s="74"/>
      <c r="O198" s="75"/>
      <c r="P198" s="73"/>
      <c r="Q198" s="76"/>
      <c r="R198" s="76"/>
      <c r="S198" s="76"/>
      <c r="T198" s="76"/>
      <c r="U198" s="76"/>
      <c r="V198" s="76"/>
      <c r="W198" s="76"/>
      <c r="X198" s="76"/>
      <c r="Y198" s="76"/>
      <c r="Z198" s="77"/>
      <c r="AA198" s="77"/>
      <c r="AB198" s="77"/>
      <c r="AC198" s="77"/>
      <c r="AD198" s="77"/>
      <c r="AE198" s="77"/>
      <c r="AF198" s="77"/>
      <c r="AG198" s="77"/>
      <c r="AH198" s="78"/>
      <c r="AI198" s="78"/>
      <c r="AJ198" s="78"/>
      <c r="AK198" s="78"/>
      <c r="AL198" s="78"/>
      <c r="AM198" s="78"/>
      <c r="AN198" s="76"/>
      <c r="AO198" s="76"/>
      <c r="AP198" s="76"/>
      <c r="AQ198" s="76"/>
      <c r="AR198" s="76"/>
      <c r="AS198" s="76"/>
      <c r="AT198" s="76"/>
      <c r="AU198" s="76"/>
      <c r="AV198" s="76"/>
      <c r="AW198" s="79"/>
      <c r="AX198" s="79"/>
      <c r="AY198" s="79"/>
      <c r="AZ198" s="79"/>
      <c r="BA198" s="79"/>
      <c r="BB198" s="11"/>
      <c r="BC198" s="11"/>
      <c r="BD198" s="11"/>
      <c r="BE198" s="73"/>
      <c r="BF198" s="73"/>
      <c r="BG198" s="73"/>
      <c r="BH198" s="77"/>
      <c r="BI198" s="77"/>
      <c r="BJ198" s="77"/>
      <c r="BK198" s="77"/>
      <c r="BL198" s="77"/>
      <c r="BM198" s="77"/>
      <c r="BN198" s="158"/>
      <c r="BO198" s="158"/>
    </row>
    <row r="199" spans="1:67" ht="15" x14ac:dyDescent="0.25">
      <c r="A199" s="71"/>
      <c r="B199" s="11"/>
      <c r="C199" s="11"/>
      <c r="D199" s="11"/>
      <c r="E199" s="11"/>
      <c r="F199" s="11"/>
      <c r="G199" s="11"/>
      <c r="H199" s="11"/>
      <c r="I199" s="11"/>
      <c r="J199" s="249"/>
      <c r="K199" s="72"/>
      <c r="L199" s="73"/>
      <c r="M199" s="73"/>
      <c r="N199" s="74"/>
      <c r="O199" s="75"/>
      <c r="P199" s="73"/>
      <c r="Q199" s="76"/>
      <c r="R199" s="76"/>
      <c r="S199" s="76"/>
      <c r="T199" s="76"/>
      <c r="U199" s="76"/>
      <c r="V199" s="76"/>
      <c r="W199" s="76"/>
      <c r="X199" s="76"/>
      <c r="Y199" s="76"/>
      <c r="Z199" s="77"/>
      <c r="AA199" s="77"/>
      <c r="AB199" s="77"/>
      <c r="AC199" s="77"/>
      <c r="AD199" s="77"/>
      <c r="AE199" s="77"/>
      <c r="AF199" s="77"/>
      <c r="AG199" s="77"/>
      <c r="AH199" s="78"/>
      <c r="AI199" s="78"/>
      <c r="AJ199" s="78"/>
      <c r="AK199" s="78"/>
      <c r="AL199" s="78"/>
      <c r="AM199" s="78"/>
      <c r="AN199" s="76"/>
      <c r="AO199" s="76"/>
      <c r="AP199" s="76"/>
      <c r="AQ199" s="76"/>
      <c r="AR199" s="76"/>
      <c r="AS199" s="76"/>
      <c r="AT199" s="76"/>
      <c r="AU199" s="76"/>
      <c r="AV199" s="76"/>
      <c r="AW199" s="79"/>
      <c r="AX199" s="79"/>
      <c r="AY199" s="79"/>
      <c r="AZ199" s="79"/>
      <c r="BA199" s="79"/>
      <c r="BB199" s="11"/>
      <c r="BC199" s="11"/>
      <c r="BD199" s="11"/>
      <c r="BE199" s="73"/>
      <c r="BF199" s="73"/>
      <c r="BG199" s="73"/>
      <c r="BH199" s="77"/>
      <c r="BI199" s="77"/>
      <c r="BJ199" s="77"/>
      <c r="BK199" s="77"/>
      <c r="BL199" s="77"/>
      <c r="BM199" s="77"/>
      <c r="BN199" s="158"/>
      <c r="BO199" s="158"/>
    </row>
    <row r="200" spans="1:67" ht="15" x14ac:dyDescent="0.25">
      <c r="A200" s="71"/>
      <c r="B200" s="11"/>
      <c r="C200" s="11"/>
      <c r="D200" s="11"/>
      <c r="E200" s="11"/>
      <c r="F200" s="11"/>
      <c r="G200" s="11"/>
      <c r="H200" s="11"/>
      <c r="I200" s="11"/>
      <c r="J200" s="249"/>
      <c r="K200" s="72"/>
      <c r="L200" s="73"/>
      <c r="M200" s="73"/>
      <c r="N200" s="74"/>
      <c r="O200" s="75"/>
      <c r="P200" s="73"/>
      <c r="Q200" s="76"/>
      <c r="R200" s="76"/>
      <c r="S200" s="76"/>
      <c r="T200" s="76"/>
      <c r="U200" s="76"/>
      <c r="V200" s="76"/>
      <c r="W200" s="76"/>
      <c r="X200" s="76"/>
      <c r="Y200" s="76"/>
      <c r="Z200" s="77"/>
      <c r="AA200" s="77"/>
      <c r="AB200" s="77"/>
      <c r="AC200" s="77"/>
      <c r="AD200" s="77"/>
      <c r="AE200" s="77"/>
      <c r="AF200" s="77"/>
      <c r="AG200" s="77"/>
      <c r="AH200" s="78"/>
      <c r="AI200" s="78"/>
      <c r="AJ200" s="78"/>
      <c r="AK200" s="78"/>
      <c r="AL200" s="78"/>
      <c r="AM200" s="78"/>
      <c r="AN200" s="76"/>
      <c r="AO200" s="76"/>
      <c r="AP200" s="76"/>
      <c r="AQ200" s="76"/>
      <c r="AR200" s="76"/>
      <c r="AS200" s="76"/>
      <c r="AT200" s="76"/>
      <c r="AU200" s="76"/>
      <c r="AV200" s="76"/>
      <c r="AW200" s="79"/>
      <c r="AX200" s="79"/>
      <c r="AY200" s="79"/>
      <c r="AZ200" s="79"/>
      <c r="BA200" s="79"/>
      <c r="BB200" s="11"/>
      <c r="BC200" s="11"/>
      <c r="BD200" s="11"/>
      <c r="BE200" s="73"/>
      <c r="BF200" s="73"/>
      <c r="BG200" s="73"/>
      <c r="BH200" s="77"/>
      <c r="BI200" s="77"/>
      <c r="BJ200" s="77"/>
      <c r="BK200" s="77"/>
      <c r="BL200" s="77"/>
      <c r="BM200" s="77"/>
      <c r="BN200" s="158"/>
      <c r="BO200" s="158"/>
    </row>
    <row r="201" spans="1:67" ht="15" x14ac:dyDescent="0.25">
      <c r="A201" s="71"/>
      <c r="B201" s="11"/>
      <c r="C201" s="11"/>
      <c r="D201" s="11"/>
      <c r="E201" s="11"/>
      <c r="F201" s="11"/>
      <c r="G201" s="11"/>
      <c r="H201" s="11"/>
      <c r="I201" s="11"/>
      <c r="J201" s="249"/>
      <c r="K201" s="72"/>
      <c r="L201" s="73"/>
      <c r="M201" s="73"/>
      <c r="N201" s="74"/>
      <c r="O201" s="75"/>
      <c r="P201" s="73"/>
      <c r="Q201" s="76"/>
      <c r="R201" s="76"/>
      <c r="S201" s="76"/>
      <c r="T201" s="76"/>
      <c r="U201" s="76"/>
      <c r="V201" s="76"/>
      <c r="W201" s="76"/>
      <c r="X201" s="76"/>
      <c r="Y201" s="76"/>
      <c r="Z201" s="77"/>
      <c r="AA201" s="77"/>
      <c r="AB201" s="77"/>
      <c r="AC201" s="77"/>
      <c r="AD201" s="77"/>
      <c r="AE201" s="77"/>
      <c r="AF201" s="77"/>
      <c r="AG201" s="77"/>
      <c r="AH201" s="78"/>
      <c r="AI201" s="78"/>
      <c r="AJ201" s="78"/>
      <c r="AK201" s="78"/>
      <c r="AL201" s="78"/>
      <c r="AM201" s="78"/>
      <c r="AN201" s="76"/>
      <c r="AO201" s="76"/>
      <c r="AP201" s="76"/>
      <c r="AQ201" s="76"/>
      <c r="AR201" s="76"/>
      <c r="AS201" s="76"/>
      <c r="AT201" s="76"/>
      <c r="AU201" s="76"/>
      <c r="AV201" s="76"/>
      <c r="AW201" s="79"/>
      <c r="AX201" s="79"/>
      <c r="AY201" s="79"/>
      <c r="AZ201" s="79"/>
      <c r="BA201" s="79"/>
      <c r="BB201" s="11"/>
      <c r="BC201" s="11"/>
      <c r="BD201" s="11"/>
      <c r="BE201" s="73"/>
      <c r="BF201" s="73"/>
      <c r="BG201" s="73"/>
      <c r="BH201" s="77"/>
      <c r="BI201" s="77"/>
      <c r="BJ201" s="77"/>
      <c r="BK201" s="77"/>
      <c r="BL201" s="77"/>
      <c r="BM201" s="77"/>
      <c r="BN201" s="158"/>
      <c r="BO201" s="158"/>
    </row>
    <row r="202" spans="1:67" ht="15" x14ac:dyDescent="0.25">
      <c r="A202" s="71"/>
      <c r="B202" s="11"/>
      <c r="C202" s="11"/>
      <c r="D202" s="11"/>
      <c r="E202" s="11"/>
      <c r="F202" s="11"/>
      <c r="G202" s="11"/>
      <c r="H202" s="11"/>
      <c r="I202" s="11"/>
      <c r="J202" s="249"/>
      <c r="K202" s="72"/>
      <c r="L202" s="73"/>
      <c r="M202" s="73"/>
      <c r="N202" s="74"/>
      <c r="O202" s="75"/>
      <c r="P202" s="73"/>
      <c r="Q202" s="76"/>
      <c r="R202" s="76"/>
      <c r="S202" s="76"/>
      <c r="T202" s="76"/>
      <c r="U202" s="76"/>
      <c r="V202" s="76"/>
      <c r="W202" s="76"/>
      <c r="X202" s="76"/>
      <c r="Y202" s="76"/>
      <c r="Z202" s="77"/>
      <c r="AA202" s="77"/>
      <c r="AB202" s="77"/>
      <c r="AC202" s="77"/>
      <c r="AD202" s="77"/>
      <c r="AE202" s="77"/>
      <c r="AF202" s="77"/>
      <c r="AG202" s="77"/>
      <c r="AH202" s="78"/>
      <c r="AI202" s="78"/>
      <c r="AJ202" s="78"/>
      <c r="AK202" s="78"/>
      <c r="AL202" s="78"/>
      <c r="AM202" s="78"/>
      <c r="AN202" s="76"/>
      <c r="AO202" s="76"/>
      <c r="AP202" s="76"/>
      <c r="AQ202" s="76"/>
      <c r="AR202" s="76"/>
      <c r="AS202" s="76"/>
      <c r="AT202" s="76"/>
      <c r="AU202" s="76"/>
      <c r="AV202" s="76"/>
      <c r="AW202" s="79"/>
      <c r="AX202" s="79"/>
      <c r="AY202" s="79"/>
      <c r="AZ202" s="79"/>
      <c r="BA202" s="79"/>
      <c r="BB202" s="11"/>
      <c r="BC202" s="11"/>
      <c r="BD202" s="11"/>
      <c r="BE202" s="73"/>
      <c r="BF202" s="73"/>
      <c r="BG202" s="73"/>
      <c r="BH202" s="77"/>
      <c r="BI202" s="77"/>
      <c r="BJ202" s="77"/>
      <c r="BK202" s="77"/>
      <c r="BL202" s="77"/>
      <c r="BM202" s="77"/>
      <c r="BN202" s="158"/>
      <c r="BO202" s="158"/>
    </row>
    <row r="203" spans="1:67" ht="15" x14ac:dyDescent="0.25">
      <c r="A203" s="71"/>
      <c r="B203" s="11"/>
      <c r="C203" s="11"/>
      <c r="D203" s="11"/>
      <c r="E203" s="11"/>
      <c r="F203" s="11"/>
      <c r="G203" s="11"/>
      <c r="H203" s="11"/>
      <c r="I203" s="11"/>
      <c r="J203" s="249"/>
      <c r="K203" s="72"/>
      <c r="L203" s="73"/>
      <c r="M203" s="73"/>
      <c r="N203" s="74"/>
      <c r="O203" s="75"/>
      <c r="P203" s="73"/>
      <c r="Q203" s="76"/>
      <c r="R203" s="76"/>
      <c r="S203" s="76"/>
      <c r="T203" s="76"/>
      <c r="U203" s="76"/>
      <c r="V203" s="76"/>
      <c r="W203" s="76"/>
      <c r="X203" s="76"/>
      <c r="Y203" s="76"/>
      <c r="Z203" s="77"/>
      <c r="AA203" s="77"/>
      <c r="AB203" s="77"/>
      <c r="AC203" s="77"/>
      <c r="AD203" s="77"/>
      <c r="AE203" s="77"/>
      <c r="AF203" s="77"/>
      <c r="AG203" s="77"/>
      <c r="AH203" s="78"/>
      <c r="AI203" s="78"/>
      <c r="AJ203" s="78"/>
      <c r="AK203" s="78"/>
      <c r="AL203" s="78"/>
      <c r="AM203" s="78"/>
      <c r="AN203" s="76"/>
      <c r="AO203" s="76"/>
      <c r="AP203" s="76"/>
      <c r="AQ203" s="76"/>
      <c r="AR203" s="76"/>
      <c r="AS203" s="76"/>
      <c r="AT203" s="76"/>
      <c r="AU203" s="76"/>
      <c r="AV203" s="76"/>
      <c r="AW203" s="79"/>
      <c r="AX203" s="79"/>
      <c r="AY203" s="79"/>
      <c r="AZ203" s="79"/>
      <c r="BA203" s="79"/>
      <c r="BB203" s="11"/>
      <c r="BC203" s="11"/>
      <c r="BD203" s="11"/>
      <c r="BE203" s="73"/>
      <c r="BF203" s="73"/>
      <c r="BG203" s="73"/>
      <c r="BH203" s="77"/>
      <c r="BI203" s="77"/>
      <c r="BJ203" s="77"/>
      <c r="BK203" s="77"/>
      <c r="BL203" s="77"/>
      <c r="BM203" s="77"/>
      <c r="BN203" s="158"/>
      <c r="BO203" s="158"/>
    </row>
    <row r="204" spans="1:67" ht="15" x14ac:dyDescent="0.25">
      <c r="A204" s="71"/>
      <c r="B204" s="11"/>
      <c r="C204" s="11"/>
      <c r="D204" s="11"/>
      <c r="E204" s="11"/>
      <c r="F204" s="11"/>
      <c r="G204" s="11"/>
      <c r="H204" s="11"/>
      <c r="I204" s="11"/>
      <c r="J204" s="249"/>
      <c r="K204" s="72"/>
      <c r="L204" s="73"/>
      <c r="M204" s="73"/>
      <c r="N204" s="74"/>
      <c r="O204" s="75"/>
      <c r="P204" s="73"/>
      <c r="Q204" s="76"/>
      <c r="R204" s="76"/>
      <c r="S204" s="76"/>
      <c r="T204" s="76"/>
      <c r="U204" s="76"/>
      <c r="V204" s="76"/>
      <c r="W204" s="76"/>
      <c r="X204" s="76"/>
      <c r="Y204" s="76"/>
      <c r="Z204" s="77"/>
      <c r="AA204" s="77"/>
      <c r="AB204" s="77"/>
      <c r="AC204" s="77"/>
      <c r="AD204" s="77"/>
      <c r="AE204" s="77"/>
      <c r="AF204" s="77"/>
      <c r="AG204" s="77"/>
      <c r="AH204" s="78"/>
      <c r="AI204" s="78"/>
      <c r="AJ204" s="78"/>
      <c r="AK204" s="78"/>
      <c r="AL204" s="78"/>
      <c r="AM204" s="78"/>
      <c r="AN204" s="76"/>
      <c r="AO204" s="76"/>
      <c r="AP204" s="76"/>
      <c r="AQ204" s="76"/>
      <c r="AR204" s="76"/>
      <c r="AS204" s="76"/>
      <c r="AT204" s="76"/>
      <c r="AU204" s="76"/>
      <c r="AV204" s="76"/>
      <c r="AW204" s="79"/>
      <c r="AX204" s="79"/>
      <c r="AY204" s="79"/>
      <c r="AZ204" s="79"/>
      <c r="BA204" s="79"/>
      <c r="BB204" s="11"/>
      <c r="BC204" s="11"/>
      <c r="BD204" s="11"/>
      <c r="BE204" s="73"/>
      <c r="BF204" s="73"/>
      <c r="BG204" s="73"/>
      <c r="BH204" s="77"/>
      <c r="BI204" s="77"/>
      <c r="BJ204" s="77"/>
      <c r="BK204" s="77"/>
      <c r="BL204" s="77"/>
      <c r="BM204" s="77"/>
      <c r="BN204" s="158"/>
      <c r="BO204" s="158"/>
    </row>
    <row r="205" spans="1:67" ht="15" x14ac:dyDescent="0.25">
      <c r="A205" s="71"/>
      <c r="B205" s="11"/>
      <c r="C205" s="11"/>
      <c r="D205" s="11"/>
      <c r="E205" s="11"/>
      <c r="F205" s="11"/>
      <c r="G205" s="11"/>
      <c r="H205" s="11"/>
      <c r="I205" s="11"/>
      <c r="J205" s="249"/>
      <c r="K205" s="72"/>
      <c r="L205" s="73"/>
      <c r="M205" s="73"/>
      <c r="N205" s="74"/>
      <c r="O205" s="75"/>
      <c r="P205" s="73"/>
      <c r="Q205" s="76"/>
      <c r="R205" s="76"/>
      <c r="S205" s="76"/>
      <c r="T205" s="76"/>
      <c r="U205" s="76"/>
      <c r="V205" s="76"/>
      <c r="W205" s="76"/>
      <c r="X205" s="76"/>
      <c r="Y205" s="76"/>
      <c r="Z205" s="77"/>
      <c r="AA205" s="77"/>
      <c r="AB205" s="77"/>
      <c r="AC205" s="77"/>
      <c r="AD205" s="77"/>
      <c r="AE205" s="77"/>
      <c r="AF205" s="77"/>
      <c r="AG205" s="77"/>
      <c r="AH205" s="78"/>
      <c r="AI205" s="78"/>
      <c r="AJ205" s="78"/>
      <c r="AK205" s="78"/>
      <c r="AL205" s="78"/>
      <c r="AM205" s="78"/>
      <c r="AN205" s="76"/>
      <c r="AO205" s="76"/>
      <c r="AP205" s="76"/>
      <c r="AQ205" s="76"/>
      <c r="AR205" s="76"/>
      <c r="AS205" s="76"/>
      <c r="AT205" s="76"/>
      <c r="AU205" s="76"/>
      <c r="AV205" s="76"/>
      <c r="AW205" s="79"/>
      <c r="AX205" s="79"/>
      <c r="AY205" s="79"/>
      <c r="AZ205" s="79"/>
      <c r="BA205" s="79"/>
      <c r="BB205" s="11"/>
      <c r="BC205" s="11"/>
      <c r="BD205" s="11"/>
      <c r="BE205" s="73"/>
      <c r="BF205" s="73"/>
      <c r="BG205" s="73"/>
      <c r="BH205" s="77"/>
      <c r="BI205" s="77"/>
      <c r="BJ205" s="77"/>
      <c r="BK205" s="77"/>
      <c r="BL205" s="77"/>
      <c r="BM205" s="77"/>
      <c r="BN205" s="158"/>
      <c r="BO205" s="158"/>
    </row>
    <row r="206" spans="1:67" ht="15" x14ac:dyDescent="0.25">
      <c r="A206" s="71"/>
      <c r="B206" s="11"/>
      <c r="C206" s="11"/>
      <c r="D206" s="11"/>
      <c r="E206" s="11"/>
      <c r="F206" s="11"/>
      <c r="G206" s="11"/>
      <c r="H206" s="11"/>
      <c r="I206" s="11"/>
      <c r="J206" s="249"/>
      <c r="K206" s="72"/>
      <c r="L206" s="73"/>
      <c r="M206" s="73"/>
      <c r="N206" s="74"/>
      <c r="O206" s="75"/>
      <c r="P206" s="73"/>
      <c r="Q206" s="76"/>
      <c r="R206" s="76"/>
      <c r="S206" s="76"/>
      <c r="T206" s="76"/>
      <c r="U206" s="76"/>
      <c r="V206" s="76"/>
      <c r="W206" s="76"/>
      <c r="X206" s="76"/>
      <c r="Y206" s="76"/>
      <c r="Z206" s="77"/>
      <c r="AA206" s="77"/>
      <c r="AB206" s="77"/>
      <c r="AC206" s="77"/>
      <c r="AD206" s="77"/>
      <c r="AE206" s="77"/>
      <c r="AF206" s="77"/>
      <c r="AG206" s="77"/>
      <c r="AH206" s="78"/>
      <c r="AI206" s="78"/>
      <c r="AJ206" s="78"/>
      <c r="AK206" s="78"/>
      <c r="AL206" s="78"/>
      <c r="AM206" s="78"/>
      <c r="AN206" s="76"/>
      <c r="AO206" s="76"/>
      <c r="AP206" s="76"/>
      <c r="AQ206" s="76"/>
      <c r="AR206" s="76"/>
      <c r="AS206" s="76"/>
      <c r="AT206" s="76"/>
      <c r="AU206" s="76"/>
      <c r="AV206" s="76"/>
      <c r="AW206" s="79"/>
      <c r="AX206" s="79"/>
      <c r="AY206" s="79"/>
      <c r="AZ206" s="79"/>
      <c r="BA206" s="79"/>
      <c r="BB206" s="11"/>
      <c r="BC206" s="11"/>
      <c r="BD206" s="11"/>
      <c r="BE206" s="73"/>
      <c r="BF206" s="73"/>
      <c r="BG206" s="73"/>
      <c r="BH206" s="77"/>
      <c r="BI206" s="77"/>
      <c r="BJ206" s="77"/>
      <c r="BK206" s="77"/>
      <c r="BL206" s="77"/>
      <c r="BM206" s="77"/>
      <c r="BN206" s="158"/>
      <c r="BO206" s="158"/>
    </row>
    <row r="207" spans="1:67" ht="15" x14ac:dyDescent="0.25">
      <c r="A207" s="71"/>
      <c r="B207" s="11"/>
      <c r="C207" s="11"/>
      <c r="D207" s="11"/>
      <c r="E207" s="11"/>
      <c r="F207" s="11"/>
      <c r="G207" s="11"/>
      <c r="H207" s="11"/>
      <c r="I207" s="11"/>
      <c r="J207" s="249"/>
      <c r="K207" s="72"/>
      <c r="L207" s="73"/>
      <c r="M207" s="73"/>
      <c r="N207" s="74"/>
      <c r="O207" s="75"/>
      <c r="P207" s="73"/>
      <c r="Q207" s="76"/>
      <c r="R207" s="76"/>
      <c r="S207" s="76"/>
      <c r="T207" s="76"/>
      <c r="U207" s="76"/>
      <c r="V207" s="76"/>
      <c r="W207" s="76"/>
      <c r="X207" s="76"/>
      <c r="Y207" s="76"/>
      <c r="Z207" s="77"/>
      <c r="AA207" s="77"/>
      <c r="AB207" s="77"/>
      <c r="AC207" s="77"/>
      <c r="AD207" s="77"/>
      <c r="AE207" s="77"/>
      <c r="AF207" s="77"/>
      <c r="AG207" s="77"/>
      <c r="AH207" s="78"/>
      <c r="AI207" s="78"/>
      <c r="AJ207" s="78"/>
      <c r="AK207" s="78"/>
      <c r="AL207" s="78"/>
      <c r="AM207" s="78"/>
      <c r="AN207" s="76"/>
      <c r="AO207" s="76"/>
      <c r="AP207" s="76"/>
      <c r="AQ207" s="76"/>
      <c r="AR207" s="76"/>
      <c r="AS207" s="76"/>
      <c r="AT207" s="76"/>
      <c r="AU207" s="76"/>
      <c r="AV207" s="76"/>
      <c r="AW207" s="79"/>
      <c r="AX207" s="79"/>
      <c r="AY207" s="79"/>
      <c r="AZ207" s="79"/>
      <c r="BA207" s="79"/>
      <c r="BB207" s="11"/>
      <c r="BC207" s="11"/>
      <c r="BD207" s="11"/>
      <c r="BE207" s="73"/>
      <c r="BF207" s="73"/>
      <c r="BG207" s="73"/>
      <c r="BH207" s="77"/>
      <c r="BI207" s="77"/>
      <c r="BJ207" s="77"/>
      <c r="BK207" s="77"/>
      <c r="BL207" s="77"/>
      <c r="BM207" s="77"/>
      <c r="BN207" s="158"/>
      <c r="BO207" s="158"/>
    </row>
    <row r="208" spans="1:67" ht="15" x14ac:dyDescent="0.25">
      <c r="A208" s="71"/>
      <c r="B208" s="11"/>
      <c r="C208" s="11"/>
      <c r="D208" s="11"/>
      <c r="E208" s="11"/>
      <c r="F208" s="11"/>
      <c r="G208" s="11"/>
      <c r="H208" s="11"/>
      <c r="I208" s="11"/>
      <c r="J208" s="249"/>
      <c r="K208" s="72"/>
      <c r="L208" s="73"/>
      <c r="M208" s="73"/>
      <c r="N208" s="74"/>
      <c r="O208" s="75"/>
      <c r="P208" s="73"/>
      <c r="Q208" s="76"/>
      <c r="R208" s="76"/>
      <c r="S208" s="76"/>
      <c r="T208" s="76"/>
      <c r="U208" s="76"/>
      <c r="V208" s="76"/>
      <c r="W208" s="76"/>
      <c r="X208" s="76"/>
      <c r="Y208" s="76"/>
      <c r="Z208" s="77"/>
      <c r="AA208" s="77"/>
      <c r="AB208" s="77"/>
      <c r="AC208" s="77"/>
      <c r="AD208" s="77"/>
      <c r="AE208" s="77"/>
      <c r="AF208" s="77"/>
      <c r="AG208" s="77"/>
      <c r="AH208" s="78"/>
      <c r="AI208" s="78"/>
      <c r="AJ208" s="78"/>
      <c r="AK208" s="78"/>
      <c r="AL208" s="78"/>
      <c r="AM208" s="78"/>
      <c r="AN208" s="76"/>
      <c r="AO208" s="76"/>
      <c r="AP208" s="76"/>
      <c r="AQ208" s="76"/>
      <c r="AR208" s="76"/>
      <c r="AS208" s="76"/>
      <c r="AT208" s="76"/>
      <c r="AU208" s="76"/>
      <c r="AV208" s="76"/>
      <c r="AW208" s="79"/>
      <c r="AX208" s="79"/>
      <c r="AY208" s="79"/>
      <c r="AZ208" s="79"/>
      <c r="BA208" s="79"/>
      <c r="BB208" s="11"/>
      <c r="BC208" s="11"/>
      <c r="BD208" s="11"/>
      <c r="BE208" s="73"/>
      <c r="BF208" s="73"/>
      <c r="BG208" s="73"/>
      <c r="BH208" s="77"/>
      <c r="BI208" s="77"/>
      <c r="BJ208" s="77"/>
      <c r="BK208" s="77"/>
      <c r="BL208" s="77"/>
      <c r="BM208" s="77"/>
      <c r="BN208" s="158"/>
      <c r="BO208" s="158"/>
    </row>
    <row r="209" spans="1:67" ht="15" x14ac:dyDescent="0.25">
      <c r="A209" s="71"/>
      <c r="B209" s="11"/>
      <c r="C209" s="11"/>
      <c r="D209" s="11"/>
      <c r="E209" s="11"/>
      <c r="F209" s="11"/>
      <c r="G209" s="11"/>
      <c r="H209" s="11"/>
      <c r="I209" s="11"/>
      <c r="J209" s="249"/>
      <c r="K209" s="72"/>
      <c r="L209" s="73"/>
      <c r="M209" s="73"/>
      <c r="N209" s="74"/>
      <c r="O209" s="75"/>
      <c r="P209" s="73"/>
      <c r="Q209" s="76"/>
      <c r="R209" s="76"/>
      <c r="S209" s="76"/>
      <c r="T209" s="76"/>
      <c r="U209" s="76"/>
      <c r="V209" s="76"/>
      <c r="W209" s="76"/>
      <c r="X209" s="76"/>
      <c r="Y209" s="76"/>
      <c r="Z209" s="77"/>
      <c r="AA209" s="77"/>
      <c r="AB209" s="77"/>
      <c r="AC209" s="77"/>
      <c r="AD209" s="77"/>
      <c r="AE209" s="77"/>
      <c r="AF209" s="77"/>
      <c r="AG209" s="77"/>
      <c r="AH209" s="78"/>
      <c r="AI209" s="78"/>
      <c r="AJ209" s="78"/>
      <c r="AK209" s="78"/>
      <c r="AL209" s="78"/>
      <c r="AM209" s="78"/>
      <c r="AN209" s="76"/>
      <c r="AO209" s="76"/>
      <c r="AP209" s="76"/>
      <c r="AQ209" s="76"/>
      <c r="AR209" s="76"/>
      <c r="AS209" s="76"/>
      <c r="AT209" s="76"/>
      <c r="AU209" s="76"/>
      <c r="AV209" s="76"/>
      <c r="AW209" s="79"/>
      <c r="AX209" s="79"/>
      <c r="AY209" s="79"/>
      <c r="AZ209" s="79"/>
      <c r="BA209" s="79"/>
      <c r="BB209" s="11"/>
      <c r="BC209" s="11"/>
      <c r="BD209" s="11"/>
      <c r="BE209" s="73"/>
      <c r="BF209" s="73"/>
      <c r="BG209" s="73"/>
      <c r="BH209" s="77"/>
      <c r="BI209" s="77"/>
      <c r="BJ209" s="77"/>
      <c r="BK209" s="77"/>
      <c r="BL209" s="77"/>
      <c r="BM209" s="77"/>
      <c r="BN209" s="158"/>
      <c r="BO209" s="158"/>
    </row>
    <row r="210" spans="1:67" ht="15" x14ac:dyDescent="0.25">
      <c r="A210" s="71"/>
      <c r="B210" s="11"/>
      <c r="C210" s="11"/>
      <c r="D210" s="11"/>
      <c r="E210" s="11"/>
      <c r="F210" s="11"/>
      <c r="G210" s="11"/>
      <c r="H210" s="11"/>
      <c r="I210" s="11"/>
      <c r="J210" s="249"/>
      <c r="K210" s="72"/>
      <c r="L210" s="73"/>
      <c r="M210" s="73"/>
      <c r="N210" s="74"/>
      <c r="O210" s="75"/>
      <c r="P210" s="73"/>
      <c r="Q210" s="76"/>
      <c r="R210" s="76"/>
      <c r="S210" s="76"/>
      <c r="T210" s="76"/>
      <c r="U210" s="76"/>
      <c r="V210" s="76"/>
      <c r="W210" s="76"/>
      <c r="X210" s="76"/>
      <c r="Y210" s="76"/>
      <c r="Z210" s="77"/>
      <c r="AA210" s="77"/>
      <c r="AB210" s="77"/>
      <c r="AC210" s="77"/>
      <c r="AD210" s="77"/>
      <c r="AE210" s="77"/>
      <c r="AF210" s="77"/>
      <c r="AG210" s="77"/>
      <c r="AH210" s="78"/>
      <c r="AI210" s="78"/>
      <c r="AJ210" s="78"/>
      <c r="AK210" s="78"/>
      <c r="AL210" s="78"/>
      <c r="AM210" s="78"/>
      <c r="AN210" s="76"/>
      <c r="AO210" s="76"/>
      <c r="AP210" s="76"/>
      <c r="AQ210" s="76"/>
      <c r="AR210" s="76"/>
      <c r="AS210" s="76"/>
      <c r="AT210" s="76"/>
      <c r="AU210" s="76"/>
      <c r="AV210" s="76"/>
      <c r="AW210" s="79"/>
      <c r="AX210" s="79"/>
      <c r="AY210" s="79"/>
      <c r="AZ210" s="79"/>
      <c r="BA210" s="79"/>
      <c r="BB210" s="11"/>
      <c r="BC210" s="11"/>
      <c r="BD210" s="11"/>
      <c r="BE210" s="73"/>
      <c r="BF210" s="73"/>
      <c r="BG210" s="73"/>
      <c r="BH210" s="77"/>
      <c r="BI210" s="77"/>
      <c r="BJ210" s="77"/>
      <c r="BK210" s="77"/>
      <c r="BL210" s="77"/>
      <c r="BM210" s="77"/>
      <c r="BN210" s="158"/>
      <c r="BO210" s="158"/>
    </row>
    <row r="211" spans="1:67" ht="15" x14ac:dyDescent="0.25">
      <c r="A211" s="71"/>
      <c r="B211" s="11"/>
      <c r="C211" s="11"/>
      <c r="D211" s="11"/>
      <c r="E211" s="11"/>
      <c r="F211" s="11"/>
      <c r="G211" s="11"/>
      <c r="H211" s="11"/>
      <c r="I211" s="11"/>
      <c r="J211" s="249"/>
      <c r="K211" s="72"/>
      <c r="L211" s="73"/>
      <c r="M211" s="73"/>
      <c r="N211" s="74"/>
      <c r="O211" s="75"/>
      <c r="P211" s="73"/>
      <c r="Q211" s="76"/>
      <c r="R211" s="76"/>
      <c r="S211" s="76"/>
      <c r="T211" s="76"/>
      <c r="U211" s="76"/>
      <c r="V211" s="76"/>
      <c r="W211" s="76"/>
      <c r="X211" s="76"/>
      <c r="Y211" s="76"/>
      <c r="Z211" s="77"/>
      <c r="AA211" s="77"/>
      <c r="AB211" s="77"/>
      <c r="AC211" s="77"/>
      <c r="AD211" s="77"/>
      <c r="AE211" s="77"/>
      <c r="AF211" s="77"/>
      <c r="AG211" s="77"/>
      <c r="AH211" s="78"/>
      <c r="AI211" s="78"/>
      <c r="AJ211" s="78"/>
      <c r="AK211" s="78"/>
      <c r="AL211" s="78"/>
      <c r="AM211" s="78"/>
      <c r="AN211" s="76"/>
      <c r="AO211" s="76"/>
      <c r="AP211" s="76"/>
      <c r="AQ211" s="76"/>
      <c r="AR211" s="76"/>
      <c r="AS211" s="76"/>
      <c r="AT211" s="76"/>
      <c r="AU211" s="76"/>
      <c r="AV211" s="76"/>
      <c r="AW211" s="79"/>
      <c r="AX211" s="79"/>
      <c r="AY211" s="79"/>
      <c r="AZ211" s="79"/>
      <c r="BA211" s="79"/>
      <c r="BB211" s="11"/>
      <c r="BC211" s="11"/>
      <c r="BD211" s="11"/>
      <c r="BE211" s="73"/>
      <c r="BF211" s="73"/>
      <c r="BG211" s="73"/>
      <c r="BH211" s="77"/>
      <c r="BI211" s="77"/>
      <c r="BJ211" s="77"/>
      <c r="BK211" s="77"/>
      <c r="BL211" s="77"/>
      <c r="BM211" s="77"/>
      <c r="BN211" s="158"/>
      <c r="BO211" s="158"/>
    </row>
    <row r="212" spans="1:67" ht="15" x14ac:dyDescent="0.25">
      <c r="A212" s="71"/>
      <c r="B212" s="11"/>
      <c r="C212" s="11"/>
      <c r="D212" s="11"/>
      <c r="E212" s="11"/>
      <c r="F212" s="11"/>
      <c r="G212" s="11"/>
      <c r="H212" s="11"/>
      <c r="I212" s="11"/>
      <c r="J212" s="249"/>
      <c r="K212" s="72"/>
      <c r="L212" s="73"/>
      <c r="M212" s="73"/>
      <c r="N212" s="74"/>
      <c r="O212" s="75"/>
      <c r="P212" s="73"/>
      <c r="Q212" s="76"/>
      <c r="R212" s="76"/>
      <c r="S212" s="76"/>
      <c r="T212" s="76"/>
      <c r="U212" s="76"/>
      <c r="V212" s="76"/>
      <c r="W212" s="76"/>
      <c r="X212" s="76"/>
      <c r="Y212" s="76"/>
      <c r="Z212" s="77"/>
      <c r="AA212" s="77"/>
      <c r="AB212" s="77"/>
      <c r="AC212" s="77"/>
      <c r="AD212" s="77"/>
      <c r="AE212" s="77"/>
      <c r="AF212" s="77"/>
      <c r="AG212" s="77"/>
      <c r="AH212" s="78"/>
      <c r="AI212" s="78"/>
      <c r="AJ212" s="78"/>
      <c r="AK212" s="78"/>
      <c r="AL212" s="78"/>
      <c r="AM212" s="78"/>
      <c r="AN212" s="76"/>
      <c r="AO212" s="76"/>
      <c r="AP212" s="76"/>
      <c r="AQ212" s="76"/>
      <c r="AR212" s="76"/>
      <c r="AS212" s="76"/>
      <c r="AT212" s="76"/>
      <c r="AU212" s="76"/>
      <c r="AV212" s="76"/>
      <c r="AW212" s="79"/>
      <c r="AX212" s="79"/>
      <c r="AY212" s="79"/>
      <c r="AZ212" s="79"/>
      <c r="BA212" s="79"/>
      <c r="BB212" s="11"/>
      <c r="BC212" s="11"/>
      <c r="BD212" s="11"/>
      <c r="BE212" s="73"/>
      <c r="BF212" s="73"/>
      <c r="BG212" s="73"/>
      <c r="BH212" s="77"/>
      <c r="BI212" s="77"/>
      <c r="BJ212" s="77"/>
      <c r="BK212" s="77"/>
      <c r="BL212" s="77"/>
      <c r="BM212" s="77"/>
      <c r="BN212" s="158"/>
      <c r="BO212" s="158"/>
    </row>
    <row r="213" spans="1:67" ht="15" x14ac:dyDescent="0.25">
      <c r="A213" s="71"/>
      <c r="B213" s="11"/>
      <c r="C213" s="11"/>
      <c r="D213" s="11"/>
      <c r="E213" s="11"/>
      <c r="F213" s="11"/>
      <c r="G213" s="11"/>
      <c r="H213" s="11"/>
      <c r="I213" s="11"/>
      <c r="J213" s="249"/>
      <c r="K213" s="72"/>
      <c r="L213" s="73"/>
      <c r="M213" s="73"/>
      <c r="N213" s="74"/>
      <c r="O213" s="75"/>
      <c r="P213" s="73"/>
      <c r="Q213" s="76"/>
      <c r="R213" s="76"/>
      <c r="S213" s="76"/>
      <c r="T213" s="76"/>
      <c r="U213" s="76"/>
      <c r="V213" s="76"/>
      <c r="W213" s="76"/>
      <c r="X213" s="76"/>
      <c r="Y213" s="76"/>
      <c r="Z213" s="77"/>
      <c r="AA213" s="77"/>
      <c r="AB213" s="77"/>
      <c r="AC213" s="77"/>
      <c r="AD213" s="77"/>
      <c r="AE213" s="77"/>
      <c r="AF213" s="77"/>
      <c r="AG213" s="77"/>
      <c r="AH213" s="78"/>
      <c r="AI213" s="78"/>
      <c r="AJ213" s="78"/>
      <c r="AK213" s="78"/>
      <c r="AL213" s="78"/>
      <c r="AM213" s="78"/>
      <c r="AN213" s="76"/>
      <c r="AO213" s="76"/>
      <c r="AP213" s="76"/>
      <c r="AQ213" s="76"/>
      <c r="AR213" s="76"/>
      <c r="AS213" s="76"/>
      <c r="AT213" s="76"/>
      <c r="AU213" s="76"/>
      <c r="AV213" s="76"/>
      <c r="AW213" s="79"/>
      <c r="AX213" s="79"/>
      <c r="AY213" s="79"/>
      <c r="AZ213" s="79"/>
      <c r="BA213" s="79"/>
      <c r="BB213" s="11"/>
      <c r="BC213" s="11"/>
      <c r="BD213" s="11"/>
      <c r="BE213" s="73"/>
      <c r="BF213" s="73"/>
      <c r="BG213" s="73"/>
      <c r="BH213" s="77"/>
      <c r="BI213" s="77"/>
      <c r="BJ213" s="77"/>
      <c r="BK213" s="77"/>
      <c r="BL213" s="77"/>
      <c r="BM213" s="77"/>
      <c r="BN213" s="158"/>
      <c r="BO213" s="158"/>
    </row>
    <row r="214" spans="1:67" ht="15" x14ac:dyDescent="0.25">
      <c r="A214" s="71"/>
      <c r="B214" s="11"/>
      <c r="C214" s="11"/>
      <c r="D214" s="11"/>
      <c r="E214" s="11"/>
      <c r="F214" s="11"/>
      <c r="G214" s="11"/>
      <c r="H214" s="11"/>
      <c r="I214" s="11"/>
      <c r="J214" s="249"/>
      <c r="K214" s="72"/>
      <c r="L214" s="73"/>
      <c r="M214" s="73"/>
      <c r="N214" s="74"/>
      <c r="O214" s="75"/>
      <c r="P214" s="73"/>
      <c r="Q214" s="76"/>
      <c r="R214" s="76"/>
      <c r="S214" s="76"/>
      <c r="T214" s="76"/>
      <c r="U214" s="76"/>
      <c r="V214" s="76"/>
      <c r="W214" s="76"/>
      <c r="X214" s="76"/>
      <c r="Y214" s="76"/>
      <c r="Z214" s="77"/>
      <c r="AA214" s="77"/>
      <c r="AB214" s="77"/>
      <c r="AC214" s="77"/>
      <c r="AD214" s="77"/>
      <c r="AE214" s="77"/>
      <c r="AF214" s="77"/>
      <c r="AG214" s="77"/>
      <c r="AH214" s="78"/>
      <c r="AI214" s="78"/>
      <c r="AJ214" s="78"/>
      <c r="AK214" s="78"/>
      <c r="AL214" s="78"/>
      <c r="AM214" s="78"/>
      <c r="AN214" s="76"/>
      <c r="AO214" s="76"/>
      <c r="AP214" s="76"/>
      <c r="AQ214" s="76"/>
      <c r="AR214" s="76"/>
      <c r="AS214" s="76"/>
      <c r="AT214" s="76"/>
      <c r="AU214" s="76"/>
      <c r="AV214" s="76"/>
      <c r="AW214" s="79"/>
      <c r="AX214" s="79"/>
      <c r="AY214" s="79"/>
      <c r="AZ214" s="79"/>
      <c r="BA214" s="79"/>
      <c r="BB214" s="11"/>
      <c r="BC214" s="11"/>
      <c r="BD214" s="11"/>
      <c r="BE214" s="73"/>
      <c r="BF214" s="73"/>
      <c r="BG214" s="73"/>
      <c r="BH214" s="77"/>
      <c r="BI214" s="77"/>
      <c r="BJ214" s="77"/>
      <c r="BK214" s="77"/>
      <c r="BL214" s="77"/>
      <c r="BM214" s="77"/>
      <c r="BN214" s="158"/>
      <c r="BO214" s="158"/>
    </row>
    <row r="215" spans="1:67" ht="15" x14ac:dyDescent="0.25">
      <c r="A215" s="71"/>
      <c r="B215" s="11"/>
      <c r="C215" s="11"/>
      <c r="D215" s="11"/>
      <c r="E215" s="11"/>
      <c r="F215" s="11"/>
      <c r="G215" s="11"/>
      <c r="H215" s="11"/>
      <c r="I215" s="11"/>
      <c r="J215" s="249"/>
      <c r="K215" s="72"/>
      <c r="L215" s="73"/>
      <c r="M215" s="73"/>
      <c r="N215" s="74"/>
      <c r="O215" s="75"/>
      <c r="P215" s="73"/>
      <c r="Q215" s="76"/>
      <c r="R215" s="76"/>
      <c r="S215" s="76"/>
      <c r="T215" s="76"/>
      <c r="U215" s="76"/>
      <c r="V215" s="76"/>
      <c r="W215" s="76"/>
      <c r="X215" s="76"/>
      <c r="Y215" s="76"/>
      <c r="Z215" s="77"/>
      <c r="AA215" s="77"/>
      <c r="AB215" s="77"/>
      <c r="AC215" s="77"/>
      <c r="AD215" s="77"/>
      <c r="AE215" s="77"/>
      <c r="AF215" s="77"/>
      <c r="AG215" s="77"/>
      <c r="AH215" s="78"/>
      <c r="AI215" s="78"/>
      <c r="AJ215" s="78"/>
      <c r="AK215" s="78"/>
      <c r="AL215" s="78"/>
      <c r="AM215" s="78"/>
      <c r="AN215" s="76"/>
      <c r="AO215" s="76"/>
      <c r="AP215" s="76"/>
      <c r="AQ215" s="76"/>
      <c r="AR215" s="76"/>
      <c r="AS215" s="76"/>
      <c r="AT215" s="76"/>
      <c r="AU215" s="76"/>
      <c r="AV215" s="76"/>
      <c r="AW215" s="79"/>
      <c r="AX215" s="79"/>
      <c r="AY215" s="79"/>
      <c r="AZ215" s="79"/>
      <c r="BA215" s="79"/>
      <c r="BB215" s="11"/>
      <c r="BC215" s="11"/>
      <c r="BD215" s="11"/>
      <c r="BE215" s="73"/>
      <c r="BF215" s="73"/>
      <c r="BG215" s="73"/>
      <c r="BH215" s="77"/>
      <c r="BI215" s="77"/>
      <c r="BJ215" s="77"/>
      <c r="BK215" s="77"/>
      <c r="BL215" s="77"/>
      <c r="BM215" s="77"/>
      <c r="BN215" s="158"/>
      <c r="BO215" s="158"/>
    </row>
    <row r="216" spans="1:67" ht="15" x14ac:dyDescent="0.25">
      <c r="A216" s="71"/>
      <c r="B216" s="11"/>
      <c r="C216" s="11"/>
      <c r="D216" s="11"/>
      <c r="E216" s="11"/>
      <c r="F216" s="11"/>
      <c r="G216" s="11"/>
      <c r="H216" s="11"/>
      <c r="I216" s="11"/>
      <c r="J216" s="249"/>
      <c r="K216" s="72"/>
      <c r="L216" s="73"/>
      <c r="M216" s="73"/>
      <c r="N216" s="74"/>
      <c r="O216" s="75"/>
      <c r="P216" s="73"/>
      <c r="Q216" s="76"/>
      <c r="R216" s="76"/>
      <c r="S216" s="76"/>
      <c r="T216" s="76"/>
      <c r="U216" s="76"/>
      <c r="V216" s="76"/>
      <c r="W216" s="76"/>
      <c r="X216" s="76"/>
      <c r="Y216" s="76"/>
      <c r="Z216" s="77"/>
      <c r="AA216" s="77"/>
      <c r="AB216" s="77"/>
      <c r="AC216" s="77"/>
      <c r="AD216" s="77"/>
      <c r="AE216" s="77"/>
      <c r="AF216" s="77"/>
      <c r="AG216" s="77"/>
      <c r="AH216" s="78"/>
      <c r="AI216" s="78"/>
      <c r="AJ216" s="78"/>
      <c r="AK216" s="78"/>
      <c r="AL216" s="78"/>
      <c r="AM216" s="78"/>
      <c r="AN216" s="76"/>
      <c r="AO216" s="76"/>
      <c r="AP216" s="76"/>
      <c r="AQ216" s="76"/>
      <c r="AR216" s="76"/>
      <c r="AS216" s="76"/>
      <c r="AT216" s="76"/>
      <c r="AU216" s="76"/>
      <c r="AV216" s="76"/>
      <c r="AW216" s="79"/>
      <c r="AX216" s="79"/>
      <c r="AY216" s="79"/>
      <c r="AZ216" s="79"/>
      <c r="BA216" s="79"/>
      <c r="BB216" s="11"/>
      <c r="BC216" s="11"/>
      <c r="BD216" s="11"/>
      <c r="BE216" s="73"/>
      <c r="BF216" s="73"/>
      <c r="BG216" s="73"/>
      <c r="BH216" s="77"/>
      <c r="BI216" s="77"/>
      <c r="BJ216" s="77"/>
      <c r="BK216" s="77"/>
      <c r="BL216" s="77"/>
      <c r="BM216" s="77"/>
      <c r="BN216" s="158"/>
      <c r="BO216" s="158"/>
    </row>
    <row r="217" spans="1:67" ht="15" x14ac:dyDescent="0.25">
      <c r="A217" s="71"/>
      <c r="B217" s="11"/>
      <c r="C217" s="11"/>
      <c r="D217" s="11"/>
      <c r="E217" s="11"/>
      <c r="F217" s="11"/>
      <c r="G217" s="11"/>
      <c r="H217" s="11"/>
      <c r="I217" s="11"/>
      <c r="J217" s="249"/>
      <c r="K217" s="72"/>
      <c r="L217" s="73"/>
      <c r="M217" s="73"/>
      <c r="N217" s="74"/>
      <c r="O217" s="75"/>
      <c r="P217" s="73"/>
      <c r="Q217" s="76"/>
      <c r="R217" s="76"/>
      <c r="S217" s="76"/>
      <c r="T217" s="76"/>
      <c r="U217" s="76"/>
      <c r="V217" s="76"/>
      <c r="W217" s="76"/>
      <c r="X217" s="76"/>
      <c r="Y217" s="76"/>
      <c r="Z217" s="77"/>
      <c r="AA217" s="77"/>
      <c r="AB217" s="77"/>
      <c r="AC217" s="77"/>
      <c r="AD217" s="77"/>
      <c r="AE217" s="77"/>
      <c r="AF217" s="77"/>
      <c r="AG217" s="77"/>
      <c r="AH217" s="78"/>
      <c r="AI217" s="78"/>
      <c r="AJ217" s="78"/>
      <c r="AK217" s="78"/>
      <c r="AL217" s="78"/>
      <c r="AM217" s="78"/>
      <c r="AN217" s="76"/>
      <c r="AO217" s="76"/>
      <c r="AP217" s="76"/>
      <c r="AQ217" s="76"/>
      <c r="AR217" s="76"/>
      <c r="AS217" s="76"/>
      <c r="AT217" s="76"/>
      <c r="AU217" s="76"/>
      <c r="AV217" s="76"/>
      <c r="AW217" s="79"/>
      <c r="AX217" s="79"/>
      <c r="AY217" s="79"/>
      <c r="AZ217" s="79"/>
      <c r="BA217" s="79"/>
      <c r="BB217" s="11"/>
      <c r="BC217" s="11"/>
      <c r="BD217" s="11"/>
      <c r="BE217" s="73"/>
      <c r="BF217" s="73"/>
      <c r="BG217" s="73"/>
      <c r="BH217" s="77"/>
      <c r="BI217" s="77"/>
      <c r="BJ217" s="77"/>
      <c r="BK217" s="77"/>
      <c r="BL217" s="77"/>
      <c r="BM217" s="77"/>
      <c r="BN217" s="158"/>
      <c r="BO217" s="158"/>
    </row>
    <row r="218" spans="1:67" ht="15" x14ac:dyDescent="0.25">
      <c r="A218" s="71"/>
      <c r="B218" s="11"/>
      <c r="C218" s="11"/>
      <c r="D218" s="11"/>
      <c r="E218" s="11"/>
      <c r="F218" s="11"/>
      <c r="G218" s="11"/>
      <c r="H218" s="11"/>
      <c r="I218" s="11"/>
      <c r="J218" s="249"/>
      <c r="K218" s="72"/>
      <c r="L218" s="73"/>
      <c r="M218" s="73"/>
      <c r="N218" s="74"/>
      <c r="O218" s="75"/>
      <c r="P218" s="73"/>
      <c r="Q218" s="76"/>
      <c r="R218" s="76"/>
      <c r="S218" s="76"/>
      <c r="T218" s="76"/>
      <c r="U218" s="76"/>
      <c r="V218" s="76"/>
      <c r="W218" s="76"/>
      <c r="X218" s="76"/>
      <c r="Y218" s="76"/>
      <c r="Z218" s="77"/>
      <c r="AA218" s="77"/>
      <c r="AB218" s="77"/>
      <c r="AC218" s="77"/>
      <c r="AD218" s="77"/>
      <c r="AE218" s="77"/>
      <c r="AF218" s="77"/>
      <c r="AG218" s="77"/>
      <c r="AH218" s="78"/>
      <c r="AI218" s="78"/>
      <c r="AJ218" s="78"/>
      <c r="AK218" s="78"/>
      <c r="AL218" s="78"/>
      <c r="AM218" s="78"/>
      <c r="AN218" s="76"/>
      <c r="AO218" s="76"/>
      <c r="AP218" s="76"/>
      <c r="AQ218" s="76"/>
      <c r="AR218" s="76"/>
      <c r="AS218" s="76"/>
      <c r="AT218" s="76"/>
      <c r="AU218" s="76"/>
      <c r="AV218" s="76"/>
      <c r="AW218" s="79"/>
      <c r="AX218" s="79"/>
      <c r="AY218" s="79"/>
      <c r="AZ218" s="79"/>
      <c r="BA218" s="79"/>
      <c r="BB218" s="11"/>
      <c r="BC218" s="11"/>
      <c r="BD218" s="11"/>
      <c r="BE218" s="73"/>
      <c r="BF218" s="73"/>
      <c r="BG218" s="73"/>
      <c r="BH218" s="77"/>
      <c r="BI218" s="77"/>
      <c r="BJ218" s="77"/>
      <c r="BK218" s="77"/>
      <c r="BL218" s="77"/>
      <c r="BM218" s="77"/>
      <c r="BN218" s="158"/>
      <c r="BO218" s="158"/>
    </row>
    <row r="219" spans="1:67" ht="15" x14ac:dyDescent="0.25">
      <c r="A219" s="71"/>
      <c r="B219" s="11"/>
      <c r="C219" s="11"/>
      <c r="D219" s="11"/>
      <c r="E219" s="11"/>
      <c r="F219" s="11"/>
      <c r="G219" s="11"/>
      <c r="H219" s="11"/>
      <c r="I219" s="11"/>
      <c r="J219" s="249"/>
      <c r="K219" s="72"/>
      <c r="L219" s="73"/>
      <c r="M219" s="73"/>
      <c r="N219" s="74"/>
      <c r="O219" s="75"/>
      <c r="P219" s="73"/>
      <c r="Q219" s="76"/>
      <c r="R219" s="76"/>
      <c r="S219" s="76"/>
      <c r="T219" s="76"/>
      <c r="U219" s="76"/>
      <c r="V219" s="76"/>
      <c r="W219" s="76"/>
      <c r="X219" s="76"/>
      <c r="Y219" s="76"/>
      <c r="Z219" s="77"/>
      <c r="AA219" s="77"/>
      <c r="AB219" s="77"/>
      <c r="AC219" s="77"/>
      <c r="AD219" s="77"/>
      <c r="AE219" s="77"/>
      <c r="AF219" s="77"/>
      <c r="AG219" s="77"/>
      <c r="AH219" s="78"/>
      <c r="AI219" s="78"/>
      <c r="AJ219" s="78"/>
      <c r="AK219" s="78"/>
      <c r="AL219" s="78"/>
      <c r="AM219" s="78"/>
      <c r="AN219" s="76"/>
      <c r="AO219" s="76"/>
      <c r="AP219" s="76"/>
      <c r="AQ219" s="76"/>
      <c r="AR219" s="76"/>
      <c r="AS219" s="76"/>
      <c r="AT219" s="76"/>
      <c r="AU219" s="76"/>
      <c r="AV219" s="76"/>
      <c r="AW219" s="79"/>
      <c r="AX219" s="79"/>
      <c r="AY219" s="79"/>
      <c r="AZ219" s="79"/>
      <c r="BA219" s="79"/>
      <c r="BB219" s="11"/>
      <c r="BC219" s="11"/>
      <c r="BD219" s="11"/>
      <c r="BE219" s="73"/>
      <c r="BF219" s="73"/>
      <c r="BG219" s="73"/>
      <c r="BH219" s="77"/>
      <c r="BI219" s="77"/>
      <c r="BJ219" s="77"/>
      <c r="BK219" s="77"/>
      <c r="BL219" s="77"/>
      <c r="BM219" s="77"/>
      <c r="BN219" s="158"/>
      <c r="BO219" s="158"/>
    </row>
    <row r="220" spans="1:67" ht="15" x14ac:dyDescent="0.25">
      <c r="A220" s="71"/>
      <c r="B220" s="11"/>
      <c r="C220" s="11"/>
      <c r="D220" s="11"/>
      <c r="E220" s="11"/>
      <c r="F220" s="11"/>
      <c r="G220" s="11"/>
      <c r="H220" s="11"/>
      <c r="I220" s="11"/>
      <c r="J220" s="249"/>
      <c r="K220" s="72"/>
      <c r="L220" s="73"/>
      <c r="M220" s="73"/>
      <c r="N220" s="74"/>
      <c r="O220" s="75"/>
      <c r="P220" s="73"/>
      <c r="Q220" s="76"/>
      <c r="R220" s="76"/>
      <c r="S220" s="76"/>
      <c r="T220" s="76"/>
      <c r="U220" s="76"/>
      <c r="V220" s="76"/>
      <c r="W220" s="76"/>
      <c r="X220" s="76"/>
      <c r="Y220" s="76"/>
      <c r="Z220" s="77"/>
      <c r="AA220" s="77"/>
      <c r="AB220" s="77"/>
      <c r="AC220" s="77"/>
      <c r="AD220" s="77"/>
      <c r="AE220" s="77"/>
      <c r="AF220" s="77"/>
      <c r="AG220" s="77"/>
      <c r="AH220" s="78"/>
      <c r="AI220" s="78"/>
      <c r="AJ220" s="78"/>
      <c r="AK220" s="78"/>
      <c r="AL220" s="78"/>
      <c r="AM220" s="78"/>
      <c r="AN220" s="76"/>
      <c r="AO220" s="76"/>
      <c r="AP220" s="76"/>
      <c r="AQ220" s="76"/>
      <c r="AR220" s="76"/>
      <c r="AS220" s="76"/>
      <c r="AT220" s="76"/>
      <c r="AU220" s="76"/>
      <c r="AV220" s="76"/>
      <c r="AW220" s="79"/>
      <c r="AX220" s="79"/>
      <c r="AY220" s="79"/>
      <c r="AZ220" s="79"/>
      <c r="BA220" s="79"/>
      <c r="BB220" s="11"/>
      <c r="BC220" s="11"/>
      <c r="BD220" s="11"/>
      <c r="BE220" s="73"/>
      <c r="BF220" s="73"/>
      <c r="BG220" s="73"/>
      <c r="BH220" s="77"/>
      <c r="BI220" s="77"/>
      <c r="BJ220" s="77"/>
      <c r="BK220" s="77"/>
      <c r="BL220" s="77"/>
      <c r="BM220" s="77"/>
      <c r="BN220" s="158"/>
      <c r="BO220" s="158"/>
    </row>
    <row r="221" spans="1:67" ht="15" x14ac:dyDescent="0.25">
      <c r="A221" s="71"/>
      <c r="B221" s="11"/>
      <c r="C221" s="11"/>
      <c r="D221" s="11"/>
      <c r="E221" s="11"/>
      <c r="F221" s="11"/>
      <c r="G221" s="11"/>
      <c r="H221" s="11"/>
      <c r="I221" s="11"/>
      <c r="J221" s="249"/>
      <c r="K221" s="72"/>
      <c r="L221" s="73"/>
      <c r="M221" s="73"/>
      <c r="N221" s="74"/>
      <c r="O221" s="75"/>
      <c r="P221" s="73"/>
      <c r="Q221" s="76"/>
      <c r="R221" s="76"/>
      <c r="S221" s="76"/>
      <c r="T221" s="76"/>
      <c r="U221" s="76"/>
      <c r="V221" s="76"/>
      <c r="W221" s="76"/>
      <c r="X221" s="76"/>
      <c r="Y221" s="76"/>
      <c r="Z221" s="77"/>
      <c r="AA221" s="77"/>
      <c r="AB221" s="77"/>
      <c r="AC221" s="77"/>
      <c r="AD221" s="77"/>
      <c r="AE221" s="77"/>
      <c r="AF221" s="77"/>
      <c r="AG221" s="77"/>
      <c r="AH221" s="78"/>
      <c r="AI221" s="78"/>
      <c r="AJ221" s="78"/>
      <c r="AK221" s="78"/>
      <c r="AL221" s="78"/>
      <c r="AM221" s="78"/>
      <c r="AN221" s="76"/>
      <c r="AO221" s="76"/>
      <c r="AP221" s="76"/>
      <c r="AQ221" s="76"/>
      <c r="AR221" s="76"/>
      <c r="AS221" s="76"/>
      <c r="AT221" s="76"/>
      <c r="AU221" s="76"/>
      <c r="AV221" s="76"/>
      <c r="AW221" s="79"/>
      <c r="AX221" s="79"/>
      <c r="AY221" s="79"/>
      <c r="AZ221" s="79"/>
      <c r="BA221" s="79"/>
      <c r="BB221" s="11"/>
      <c r="BC221" s="11"/>
      <c r="BD221" s="11"/>
      <c r="BE221" s="73"/>
      <c r="BF221" s="73"/>
      <c r="BG221" s="73"/>
      <c r="BH221" s="77"/>
      <c r="BI221" s="77"/>
      <c r="BJ221" s="77"/>
      <c r="BK221" s="77"/>
      <c r="BL221" s="77"/>
      <c r="BM221" s="77"/>
      <c r="BN221" s="158"/>
      <c r="BO221" s="158"/>
    </row>
    <row r="222" spans="1:67" ht="15" x14ac:dyDescent="0.25">
      <c r="A222" s="71"/>
      <c r="B222" s="11"/>
      <c r="C222" s="11"/>
      <c r="D222" s="11"/>
      <c r="E222" s="11"/>
      <c r="F222" s="11"/>
      <c r="G222" s="11"/>
      <c r="H222" s="11"/>
      <c r="I222" s="11"/>
      <c r="J222" s="249"/>
      <c r="K222" s="72"/>
      <c r="L222" s="73"/>
      <c r="M222" s="73"/>
      <c r="N222" s="74"/>
      <c r="O222" s="75"/>
      <c r="P222" s="73"/>
      <c r="Q222" s="76"/>
      <c r="R222" s="76"/>
      <c r="S222" s="76"/>
      <c r="T222" s="76"/>
      <c r="U222" s="76"/>
      <c r="V222" s="76"/>
      <c r="W222" s="76"/>
      <c r="X222" s="76"/>
      <c r="Y222" s="76"/>
      <c r="Z222" s="77"/>
      <c r="AA222" s="77"/>
      <c r="AB222" s="77"/>
      <c r="AC222" s="77"/>
      <c r="AD222" s="77"/>
      <c r="AE222" s="77"/>
      <c r="AF222" s="77"/>
      <c r="AG222" s="77"/>
      <c r="AH222" s="78"/>
      <c r="AI222" s="78"/>
      <c r="AJ222" s="78"/>
      <c r="AK222" s="78"/>
      <c r="AL222" s="78"/>
      <c r="AM222" s="78"/>
      <c r="AN222" s="76"/>
      <c r="AO222" s="76"/>
      <c r="AP222" s="76"/>
      <c r="AQ222" s="76"/>
      <c r="AR222" s="76"/>
      <c r="AS222" s="76"/>
      <c r="AT222" s="76"/>
      <c r="AU222" s="76"/>
      <c r="AV222" s="76"/>
      <c r="AW222" s="79"/>
      <c r="AX222" s="79"/>
      <c r="AY222" s="79"/>
      <c r="AZ222" s="79"/>
      <c r="BA222" s="79"/>
      <c r="BB222" s="11"/>
      <c r="BC222" s="11"/>
      <c r="BD222" s="11"/>
      <c r="BE222" s="73"/>
      <c r="BF222" s="73"/>
      <c r="BG222" s="73"/>
      <c r="BH222" s="77"/>
      <c r="BI222" s="77"/>
      <c r="BJ222" s="77"/>
      <c r="BK222" s="77"/>
      <c r="BL222" s="77"/>
      <c r="BM222" s="77"/>
      <c r="BN222" s="158"/>
      <c r="BO222" s="158"/>
    </row>
    <row r="223" spans="1:67" ht="15" x14ac:dyDescent="0.25">
      <c r="A223" s="71"/>
      <c r="B223" s="11"/>
      <c r="C223" s="11"/>
      <c r="D223" s="11"/>
      <c r="E223" s="11"/>
      <c r="F223" s="11"/>
      <c r="G223" s="11"/>
      <c r="H223" s="11"/>
      <c r="I223" s="11"/>
      <c r="J223" s="249"/>
      <c r="K223" s="72"/>
      <c r="L223" s="73"/>
      <c r="M223" s="73"/>
      <c r="N223" s="74"/>
      <c r="O223" s="75"/>
      <c r="P223" s="73"/>
      <c r="Q223" s="76"/>
      <c r="R223" s="76"/>
      <c r="S223" s="76"/>
      <c r="T223" s="76"/>
      <c r="U223" s="76"/>
      <c r="V223" s="76"/>
      <c r="W223" s="76"/>
      <c r="X223" s="76"/>
      <c r="Y223" s="76"/>
      <c r="Z223" s="77"/>
      <c r="AA223" s="77"/>
      <c r="AB223" s="77"/>
      <c r="AC223" s="77"/>
      <c r="AD223" s="77"/>
      <c r="AE223" s="77"/>
      <c r="AF223" s="77"/>
      <c r="AG223" s="77"/>
      <c r="AH223" s="78"/>
      <c r="AI223" s="78"/>
      <c r="AJ223" s="78"/>
      <c r="AK223" s="78"/>
      <c r="AL223" s="78"/>
      <c r="AM223" s="78"/>
      <c r="AN223" s="76"/>
      <c r="AO223" s="76"/>
      <c r="AP223" s="76"/>
      <c r="AQ223" s="76"/>
      <c r="AR223" s="76"/>
      <c r="AS223" s="76"/>
      <c r="AT223" s="76"/>
      <c r="AU223" s="76"/>
      <c r="AV223" s="76"/>
      <c r="AW223" s="79"/>
      <c r="AX223" s="79"/>
      <c r="AY223" s="79"/>
      <c r="AZ223" s="79"/>
      <c r="BA223" s="79"/>
      <c r="BB223" s="11"/>
      <c r="BC223" s="11"/>
      <c r="BD223" s="11"/>
      <c r="BE223" s="73"/>
      <c r="BF223" s="73"/>
      <c r="BG223" s="73"/>
      <c r="BH223" s="77"/>
      <c r="BI223" s="77"/>
      <c r="BJ223" s="77"/>
      <c r="BK223" s="77"/>
      <c r="BL223" s="77"/>
      <c r="BM223" s="77"/>
      <c r="BN223" s="158"/>
      <c r="BO223" s="158"/>
    </row>
    <row r="224" spans="1:67" ht="15" x14ac:dyDescent="0.25">
      <c r="A224" s="71"/>
      <c r="B224" s="11"/>
      <c r="C224" s="11"/>
      <c r="D224" s="11"/>
      <c r="E224" s="11"/>
      <c r="F224" s="11"/>
      <c r="G224" s="11"/>
      <c r="H224" s="11"/>
      <c r="I224" s="11"/>
      <c r="J224" s="249"/>
      <c r="K224" s="72"/>
      <c r="L224" s="73"/>
      <c r="M224" s="73"/>
      <c r="N224" s="74"/>
      <c r="O224" s="75"/>
      <c r="P224" s="73"/>
      <c r="Q224" s="76"/>
      <c r="R224" s="76"/>
      <c r="S224" s="76"/>
      <c r="T224" s="76"/>
      <c r="U224" s="76"/>
      <c r="V224" s="76"/>
      <c r="W224" s="76"/>
      <c r="X224" s="76"/>
      <c r="Y224" s="76"/>
      <c r="Z224" s="77"/>
      <c r="AA224" s="77"/>
      <c r="AB224" s="77"/>
      <c r="AC224" s="77"/>
      <c r="AD224" s="77"/>
      <c r="AE224" s="77"/>
      <c r="AF224" s="77"/>
      <c r="AG224" s="77"/>
      <c r="AH224" s="78"/>
      <c r="AI224" s="78"/>
      <c r="AJ224" s="78"/>
      <c r="AK224" s="78"/>
      <c r="AL224" s="78"/>
      <c r="AM224" s="78"/>
      <c r="AN224" s="76"/>
      <c r="AO224" s="76"/>
      <c r="AP224" s="76"/>
      <c r="AQ224" s="76"/>
      <c r="AR224" s="76"/>
      <c r="AS224" s="76"/>
      <c r="AT224" s="76"/>
      <c r="AU224" s="76"/>
      <c r="AV224" s="76"/>
      <c r="AW224" s="79"/>
      <c r="AX224" s="79"/>
      <c r="AY224" s="79"/>
      <c r="AZ224" s="79"/>
      <c r="BA224" s="79"/>
      <c r="BB224" s="11"/>
      <c r="BC224" s="11"/>
      <c r="BD224" s="11"/>
      <c r="BE224" s="73"/>
      <c r="BF224" s="73"/>
      <c r="BG224" s="73"/>
      <c r="BH224" s="77"/>
      <c r="BI224" s="77"/>
      <c r="BJ224" s="77"/>
      <c r="BK224" s="77"/>
      <c r="BL224" s="77"/>
      <c r="BM224" s="77"/>
      <c r="BN224" s="158"/>
      <c r="BO224" s="158"/>
    </row>
    <row r="225" spans="1:67" ht="15" x14ac:dyDescent="0.25">
      <c r="A225" s="71"/>
      <c r="B225" s="11"/>
      <c r="C225" s="11"/>
      <c r="D225" s="11"/>
      <c r="E225" s="11"/>
      <c r="F225" s="11"/>
      <c r="G225" s="11"/>
      <c r="H225" s="11"/>
      <c r="I225" s="11"/>
      <c r="J225" s="249"/>
      <c r="K225" s="72"/>
      <c r="L225" s="73"/>
      <c r="M225" s="73"/>
      <c r="N225" s="74"/>
      <c r="O225" s="75"/>
      <c r="P225" s="73"/>
      <c r="Q225" s="76"/>
      <c r="R225" s="76"/>
      <c r="S225" s="76"/>
      <c r="T225" s="76"/>
      <c r="U225" s="76"/>
      <c r="V225" s="76"/>
      <c r="W225" s="76"/>
      <c r="X225" s="76"/>
      <c r="Y225" s="76"/>
      <c r="Z225" s="77"/>
      <c r="AA225" s="77"/>
      <c r="AB225" s="77"/>
      <c r="AC225" s="77"/>
      <c r="AD225" s="77"/>
      <c r="AE225" s="77"/>
      <c r="AF225" s="77"/>
      <c r="AG225" s="77"/>
      <c r="AH225" s="78"/>
      <c r="AI225" s="78"/>
      <c r="AJ225" s="78"/>
      <c r="AK225" s="78"/>
      <c r="AL225" s="78"/>
      <c r="AM225" s="78"/>
      <c r="AN225" s="76"/>
      <c r="AO225" s="76"/>
      <c r="AP225" s="76"/>
      <c r="AQ225" s="76"/>
      <c r="AR225" s="76"/>
      <c r="AS225" s="76"/>
      <c r="AT225" s="76"/>
      <c r="AU225" s="76"/>
      <c r="AV225" s="76"/>
      <c r="AW225" s="79"/>
      <c r="AX225" s="79"/>
      <c r="AY225" s="79"/>
      <c r="AZ225" s="79"/>
      <c r="BA225" s="79"/>
      <c r="BB225" s="11"/>
      <c r="BC225" s="11"/>
      <c r="BD225" s="11"/>
      <c r="BE225" s="73"/>
      <c r="BF225" s="73"/>
      <c r="BG225" s="73"/>
      <c r="BH225" s="77"/>
      <c r="BI225" s="77"/>
      <c r="BJ225" s="77"/>
      <c r="BK225" s="77"/>
      <c r="BL225" s="77"/>
      <c r="BM225" s="77"/>
      <c r="BN225" s="158"/>
      <c r="BO225" s="158"/>
    </row>
    <row r="226" spans="1:67" ht="15" x14ac:dyDescent="0.25">
      <c r="A226" s="71"/>
      <c r="B226" s="11"/>
      <c r="C226" s="11"/>
      <c r="D226" s="11"/>
      <c r="E226" s="11"/>
      <c r="F226" s="11"/>
      <c r="G226" s="11"/>
      <c r="H226" s="11"/>
      <c r="I226" s="11"/>
      <c r="J226" s="249"/>
      <c r="K226" s="72"/>
      <c r="L226" s="73"/>
      <c r="M226" s="73"/>
      <c r="N226" s="74"/>
      <c r="O226" s="75"/>
      <c r="P226" s="73"/>
      <c r="Q226" s="76"/>
      <c r="R226" s="76"/>
      <c r="S226" s="76"/>
      <c r="T226" s="76"/>
      <c r="U226" s="76"/>
      <c r="V226" s="76"/>
      <c r="W226" s="76"/>
      <c r="X226" s="76"/>
      <c r="Y226" s="76"/>
      <c r="Z226" s="77"/>
      <c r="AA226" s="77"/>
      <c r="AB226" s="77"/>
      <c r="AC226" s="77"/>
      <c r="AD226" s="77"/>
      <c r="AE226" s="77"/>
      <c r="AF226" s="77"/>
      <c r="AG226" s="77"/>
      <c r="AH226" s="78"/>
      <c r="AI226" s="78"/>
      <c r="AJ226" s="78"/>
      <c r="AK226" s="78"/>
      <c r="AL226" s="78"/>
      <c r="AM226" s="78"/>
      <c r="AN226" s="76"/>
      <c r="AO226" s="76"/>
      <c r="AP226" s="76"/>
      <c r="AQ226" s="76"/>
      <c r="AR226" s="76"/>
      <c r="AS226" s="76"/>
      <c r="AT226" s="76"/>
      <c r="AU226" s="76"/>
      <c r="AV226" s="76"/>
      <c r="AW226" s="79"/>
      <c r="AX226" s="79"/>
      <c r="AY226" s="79"/>
      <c r="AZ226" s="79"/>
      <c r="BA226" s="79"/>
      <c r="BB226" s="11"/>
      <c r="BC226" s="11"/>
      <c r="BD226" s="11"/>
      <c r="BE226" s="73"/>
      <c r="BF226" s="73"/>
      <c r="BG226" s="73"/>
      <c r="BH226" s="77"/>
      <c r="BI226" s="77"/>
      <c r="BJ226" s="77"/>
      <c r="BK226" s="77"/>
      <c r="BL226" s="77"/>
      <c r="BM226" s="77"/>
      <c r="BN226" s="158"/>
      <c r="BO226" s="158"/>
    </row>
    <row r="227" spans="1:67" ht="15" x14ac:dyDescent="0.25">
      <c r="A227" s="71"/>
      <c r="B227" s="11"/>
      <c r="C227" s="11"/>
      <c r="D227" s="11"/>
      <c r="E227" s="11"/>
      <c r="F227" s="11"/>
      <c r="G227" s="11"/>
      <c r="H227" s="11"/>
      <c r="I227" s="11"/>
      <c r="J227" s="249"/>
      <c r="K227" s="72"/>
      <c r="L227" s="73"/>
      <c r="M227" s="73"/>
      <c r="N227" s="74"/>
      <c r="O227" s="75"/>
      <c r="P227" s="73"/>
      <c r="Q227" s="76"/>
      <c r="R227" s="76"/>
      <c r="S227" s="76"/>
      <c r="T227" s="76"/>
      <c r="U227" s="76"/>
      <c r="V227" s="76"/>
      <c r="W227" s="76"/>
      <c r="X227" s="76"/>
      <c r="Y227" s="76"/>
      <c r="Z227" s="77"/>
      <c r="AA227" s="77"/>
      <c r="AB227" s="77"/>
      <c r="AC227" s="77"/>
      <c r="AD227" s="77"/>
      <c r="AE227" s="77"/>
      <c r="AF227" s="77"/>
      <c r="AG227" s="77"/>
      <c r="AH227" s="78"/>
      <c r="AI227" s="78"/>
      <c r="AJ227" s="78"/>
      <c r="AK227" s="78"/>
      <c r="AL227" s="78"/>
      <c r="AM227" s="78"/>
      <c r="AN227" s="76"/>
      <c r="AO227" s="76"/>
      <c r="AP227" s="76"/>
      <c r="AQ227" s="76"/>
      <c r="AR227" s="76"/>
      <c r="AS227" s="76"/>
      <c r="AT227" s="76"/>
      <c r="AU227" s="76"/>
      <c r="AV227" s="76"/>
      <c r="AW227" s="79"/>
      <c r="AX227" s="79"/>
      <c r="AY227" s="79"/>
      <c r="AZ227" s="79"/>
      <c r="BA227" s="79"/>
      <c r="BB227" s="11"/>
      <c r="BC227" s="11"/>
      <c r="BD227" s="11"/>
      <c r="BE227" s="73"/>
      <c r="BF227" s="73"/>
      <c r="BG227" s="73"/>
      <c r="BH227" s="77"/>
      <c r="BI227" s="77"/>
      <c r="BJ227" s="77"/>
      <c r="BK227" s="77"/>
      <c r="BL227" s="77"/>
      <c r="BM227" s="77"/>
      <c r="BN227" s="158"/>
      <c r="BO227" s="158"/>
    </row>
    <row r="228" spans="1:67" ht="15" x14ac:dyDescent="0.25">
      <c r="A228" s="71"/>
      <c r="B228" s="11"/>
      <c r="C228" s="11"/>
      <c r="D228" s="11"/>
      <c r="E228" s="11"/>
      <c r="F228" s="11"/>
      <c r="G228" s="11"/>
      <c r="H228" s="11"/>
      <c r="I228" s="11"/>
      <c r="J228" s="249"/>
      <c r="K228" s="72"/>
      <c r="L228" s="73"/>
      <c r="M228" s="73"/>
      <c r="N228" s="74"/>
      <c r="O228" s="75"/>
      <c r="P228" s="73"/>
      <c r="Q228" s="76"/>
      <c r="R228" s="76"/>
      <c r="S228" s="76"/>
      <c r="T228" s="76"/>
      <c r="U228" s="76"/>
      <c r="V228" s="76"/>
      <c r="W228" s="76"/>
      <c r="X228" s="76"/>
      <c r="Y228" s="76"/>
      <c r="Z228" s="77"/>
      <c r="AA228" s="77"/>
      <c r="AB228" s="77"/>
      <c r="AC228" s="77"/>
      <c r="AD228" s="77"/>
      <c r="AE228" s="77"/>
      <c r="AF228" s="77"/>
      <c r="AG228" s="77"/>
      <c r="AH228" s="78"/>
      <c r="AI228" s="78"/>
      <c r="AJ228" s="78"/>
      <c r="AK228" s="78"/>
      <c r="AL228" s="78"/>
      <c r="AM228" s="78"/>
      <c r="AN228" s="76"/>
      <c r="AO228" s="76"/>
      <c r="AP228" s="76"/>
      <c r="AQ228" s="76"/>
      <c r="AR228" s="76"/>
      <c r="AS228" s="76"/>
      <c r="AT228" s="76"/>
      <c r="AU228" s="76"/>
      <c r="AV228" s="76"/>
      <c r="AW228" s="79"/>
      <c r="AX228" s="79"/>
      <c r="AY228" s="79"/>
      <c r="AZ228" s="79"/>
      <c r="BA228" s="79"/>
      <c r="BB228" s="11"/>
      <c r="BC228" s="11"/>
      <c r="BD228" s="11"/>
      <c r="BE228" s="73"/>
      <c r="BF228" s="73"/>
      <c r="BG228" s="73"/>
      <c r="BH228" s="77"/>
      <c r="BI228" s="77"/>
      <c r="BJ228" s="77"/>
      <c r="BK228" s="77"/>
      <c r="BL228" s="77"/>
      <c r="BM228" s="77"/>
      <c r="BN228" s="158"/>
      <c r="BO228" s="158"/>
    </row>
    <row r="229" spans="1:67" ht="15" x14ac:dyDescent="0.25">
      <c r="A229" s="71"/>
      <c r="B229" s="11"/>
      <c r="C229" s="11"/>
      <c r="D229" s="11"/>
      <c r="E229" s="11"/>
      <c r="F229" s="11"/>
      <c r="G229" s="11"/>
      <c r="H229" s="11"/>
      <c r="I229" s="11"/>
      <c r="J229" s="249"/>
      <c r="K229" s="72"/>
      <c r="L229" s="73"/>
      <c r="M229" s="73"/>
      <c r="N229" s="74"/>
      <c r="O229" s="75"/>
      <c r="P229" s="73"/>
      <c r="Q229" s="76"/>
      <c r="R229" s="76"/>
      <c r="S229" s="76"/>
      <c r="T229" s="76"/>
      <c r="U229" s="76"/>
      <c r="V229" s="76"/>
      <c r="W229" s="76"/>
      <c r="X229" s="76"/>
      <c r="Y229" s="76"/>
      <c r="Z229" s="77"/>
      <c r="AA229" s="77"/>
      <c r="AB229" s="77"/>
      <c r="AC229" s="77"/>
      <c r="AD229" s="77"/>
      <c r="AE229" s="77"/>
      <c r="AF229" s="77"/>
      <c r="AG229" s="77"/>
      <c r="AH229" s="78"/>
      <c r="AI229" s="78"/>
      <c r="AJ229" s="78"/>
      <c r="AK229" s="78"/>
      <c r="AL229" s="78"/>
      <c r="AM229" s="78"/>
      <c r="AN229" s="76"/>
      <c r="AO229" s="76"/>
      <c r="AP229" s="76"/>
      <c r="AQ229" s="76"/>
      <c r="AR229" s="76"/>
      <c r="AS229" s="76"/>
      <c r="AT229" s="76"/>
      <c r="AU229" s="76"/>
      <c r="AV229" s="76"/>
      <c r="AW229" s="79"/>
      <c r="AX229" s="79"/>
      <c r="AY229" s="79"/>
      <c r="AZ229" s="79"/>
      <c r="BA229" s="79"/>
      <c r="BB229" s="11"/>
      <c r="BC229" s="11"/>
      <c r="BD229" s="11"/>
      <c r="BE229" s="73"/>
      <c r="BF229" s="73"/>
      <c r="BG229" s="73"/>
      <c r="BH229" s="77"/>
      <c r="BI229" s="77"/>
      <c r="BJ229" s="77"/>
      <c r="BK229" s="77"/>
      <c r="BL229" s="77"/>
      <c r="BM229" s="77"/>
      <c r="BN229" s="158"/>
      <c r="BO229" s="158"/>
    </row>
    <row r="230" spans="1:67" ht="15" x14ac:dyDescent="0.25">
      <c r="A230" s="71"/>
      <c r="B230" s="11"/>
      <c r="C230" s="11"/>
      <c r="D230" s="11"/>
      <c r="E230" s="11"/>
      <c r="F230" s="11"/>
      <c r="G230" s="11"/>
      <c r="H230" s="11"/>
      <c r="I230" s="11"/>
      <c r="J230" s="249"/>
      <c r="K230" s="72"/>
      <c r="L230" s="73"/>
      <c r="M230" s="73"/>
      <c r="N230" s="74"/>
      <c r="O230" s="75"/>
      <c r="P230" s="73"/>
      <c r="Q230" s="76"/>
      <c r="R230" s="76"/>
      <c r="S230" s="76"/>
      <c r="T230" s="76"/>
      <c r="U230" s="76"/>
      <c r="V230" s="76"/>
      <c r="W230" s="76"/>
      <c r="X230" s="76"/>
      <c r="Y230" s="76"/>
      <c r="Z230" s="77"/>
      <c r="AA230" s="77"/>
      <c r="AB230" s="77"/>
      <c r="AC230" s="77"/>
      <c r="AD230" s="77"/>
      <c r="AE230" s="77"/>
      <c r="AF230" s="77"/>
      <c r="AG230" s="77"/>
      <c r="AH230" s="78"/>
      <c r="AI230" s="78"/>
      <c r="AJ230" s="78"/>
      <c r="AK230" s="78"/>
      <c r="AL230" s="78"/>
      <c r="AM230" s="78"/>
      <c r="AN230" s="76"/>
      <c r="AO230" s="76"/>
      <c r="AP230" s="76"/>
      <c r="AQ230" s="76"/>
      <c r="AR230" s="76"/>
      <c r="AS230" s="76"/>
      <c r="AT230" s="76"/>
      <c r="AU230" s="76"/>
      <c r="AV230" s="76"/>
      <c r="AW230" s="79"/>
      <c r="AX230" s="79"/>
      <c r="AY230" s="79"/>
      <c r="AZ230" s="79"/>
      <c r="BA230" s="79"/>
      <c r="BB230" s="11"/>
      <c r="BC230" s="11"/>
      <c r="BD230" s="11"/>
      <c r="BE230" s="73"/>
      <c r="BF230" s="73"/>
      <c r="BG230" s="73"/>
      <c r="BH230" s="77"/>
      <c r="BI230" s="77"/>
      <c r="BJ230" s="77"/>
      <c r="BK230" s="77"/>
      <c r="BL230" s="77"/>
      <c r="BM230" s="77"/>
      <c r="BN230" s="158"/>
      <c r="BO230" s="158"/>
    </row>
    <row r="231" spans="1:67" ht="15" x14ac:dyDescent="0.25">
      <c r="A231" s="71"/>
      <c r="B231" s="11"/>
      <c r="C231" s="11"/>
      <c r="D231" s="11"/>
      <c r="E231" s="11"/>
      <c r="F231" s="11"/>
      <c r="G231" s="11"/>
      <c r="H231" s="11"/>
      <c r="I231" s="11"/>
      <c r="J231" s="249"/>
      <c r="K231" s="72"/>
      <c r="L231" s="73"/>
      <c r="M231" s="73"/>
      <c r="N231" s="74"/>
      <c r="O231" s="75"/>
      <c r="P231" s="73"/>
      <c r="Q231" s="76"/>
      <c r="R231" s="76"/>
      <c r="S231" s="76"/>
      <c r="T231" s="76"/>
      <c r="U231" s="76"/>
      <c r="V231" s="76"/>
      <c r="W231" s="76"/>
      <c r="X231" s="76"/>
      <c r="Y231" s="76"/>
      <c r="Z231" s="77"/>
      <c r="AA231" s="77"/>
      <c r="AB231" s="77"/>
      <c r="AC231" s="77"/>
      <c r="AD231" s="77"/>
      <c r="AE231" s="77"/>
      <c r="AF231" s="77"/>
      <c r="AG231" s="77"/>
      <c r="AH231" s="78"/>
      <c r="AI231" s="78"/>
      <c r="AJ231" s="78"/>
      <c r="AK231" s="78"/>
      <c r="AL231" s="78"/>
      <c r="AM231" s="78"/>
      <c r="AN231" s="76"/>
      <c r="AO231" s="76"/>
      <c r="AP231" s="76"/>
      <c r="AQ231" s="76"/>
      <c r="AR231" s="76"/>
      <c r="AS231" s="76"/>
      <c r="AT231" s="76"/>
      <c r="AU231" s="76"/>
      <c r="AV231" s="76"/>
      <c r="AW231" s="79"/>
      <c r="AX231" s="79"/>
      <c r="AY231" s="79"/>
      <c r="AZ231" s="79"/>
      <c r="BA231" s="79"/>
      <c r="BB231" s="11"/>
      <c r="BC231" s="11"/>
      <c r="BD231" s="11"/>
      <c r="BE231" s="73"/>
      <c r="BF231" s="73"/>
      <c r="BG231" s="73"/>
      <c r="BH231" s="77"/>
      <c r="BI231" s="77"/>
      <c r="BJ231" s="77"/>
      <c r="BK231" s="77"/>
      <c r="BL231" s="77"/>
      <c r="BM231" s="77"/>
      <c r="BN231" s="158"/>
      <c r="BO231" s="158"/>
    </row>
    <row r="232" spans="1:67" ht="15" x14ac:dyDescent="0.25">
      <c r="A232" s="71"/>
      <c r="B232" s="11"/>
      <c r="C232" s="11"/>
      <c r="D232" s="11"/>
      <c r="E232" s="11"/>
      <c r="F232" s="11"/>
      <c r="G232" s="11"/>
      <c r="H232" s="11"/>
      <c r="I232" s="11"/>
      <c r="J232" s="249"/>
      <c r="K232" s="72"/>
      <c r="L232" s="73"/>
      <c r="M232" s="73"/>
      <c r="N232" s="74"/>
      <c r="O232" s="75"/>
      <c r="P232" s="73"/>
      <c r="Q232" s="76"/>
      <c r="R232" s="76"/>
      <c r="S232" s="76"/>
      <c r="T232" s="76"/>
      <c r="U232" s="76"/>
      <c r="V232" s="76"/>
      <c r="W232" s="76"/>
      <c r="X232" s="76"/>
      <c r="Y232" s="76"/>
      <c r="Z232" s="77"/>
      <c r="AA232" s="77"/>
      <c r="AB232" s="77"/>
      <c r="AC232" s="77"/>
      <c r="AD232" s="77"/>
      <c r="AE232" s="77"/>
      <c r="AF232" s="77"/>
      <c r="AG232" s="77"/>
      <c r="AH232" s="78"/>
      <c r="AI232" s="78"/>
      <c r="AJ232" s="78"/>
      <c r="AK232" s="78"/>
      <c r="AL232" s="78"/>
      <c r="AM232" s="78"/>
      <c r="AN232" s="76"/>
      <c r="AO232" s="76"/>
      <c r="AP232" s="76"/>
      <c r="AQ232" s="76"/>
      <c r="AR232" s="76"/>
      <c r="AS232" s="76"/>
      <c r="AT232" s="76"/>
      <c r="AU232" s="76"/>
      <c r="AV232" s="76"/>
      <c r="AW232" s="79"/>
      <c r="AX232" s="79"/>
      <c r="AY232" s="79"/>
      <c r="AZ232" s="79"/>
      <c r="BA232" s="79"/>
      <c r="BB232" s="11"/>
      <c r="BC232" s="11"/>
      <c r="BD232" s="11"/>
      <c r="BE232" s="73"/>
      <c r="BF232" s="73"/>
      <c r="BG232" s="73"/>
      <c r="BH232" s="77"/>
      <c r="BI232" s="77"/>
      <c r="BJ232" s="77"/>
      <c r="BK232" s="77"/>
      <c r="BL232" s="77"/>
      <c r="BM232" s="77"/>
      <c r="BN232" s="158"/>
      <c r="BO232" s="158"/>
    </row>
    <row r="233" spans="1:67" ht="15" x14ac:dyDescent="0.25">
      <c r="A233" s="71"/>
      <c r="B233" s="11"/>
      <c r="C233" s="11"/>
      <c r="D233" s="11"/>
      <c r="E233" s="11"/>
      <c r="F233" s="11"/>
      <c r="G233" s="11"/>
      <c r="H233" s="11"/>
      <c r="I233" s="11"/>
      <c r="J233" s="249"/>
      <c r="K233" s="72"/>
      <c r="L233" s="73"/>
      <c r="M233" s="73"/>
      <c r="N233" s="74"/>
      <c r="O233" s="75"/>
      <c r="P233" s="73"/>
      <c r="Q233" s="76"/>
      <c r="R233" s="76"/>
      <c r="S233" s="76"/>
      <c r="T233" s="76"/>
      <c r="U233" s="76"/>
      <c r="V233" s="76"/>
      <c r="W233" s="76"/>
      <c r="X233" s="76"/>
      <c r="Y233" s="76"/>
      <c r="Z233" s="77"/>
      <c r="AA233" s="77"/>
      <c r="AB233" s="77"/>
      <c r="AC233" s="77"/>
      <c r="AD233" s="77"/>
      <c r="AE233" s="77"/>
      <c r="AF233" s="77"/>
      <c r="AG233" s="77"/>
      <c r="AH233" s="78"/>
      <c r="AI233" s="78"/>
      <c r="AJ233" s="78"/>
      <c r="AK233" s="78"/>
      <c r="AL233" s="78"/>
      <c r="AM233" s="78"/>
      <c r="AN233" s="76"/>
      <c r="AO233" s="76"/>
      <c r="AP233" s="76"/>
      <c r="AQ233" s="76"/>
      <c r="AR233" s="76"/>
      <c r="AS233" s="76"/>
      <c r="AT233" s="76"/>
      <c r="AU233" s="76"/>
      <c r="AV233" s="76"/>
      <c r="AW233" s="79"/>
      <c r="AX233" s="79"/>
      <c r="AY233" s="79"/>
      <c r="AZ233" s="79"/>
      <c r="BA233" s="79"/>
      <c r="BB233" s="11"/>
      <c r="BC233" s="11"/>
      <c r="BD233" s="11"/>
      <c r="BE233" s="73"/>
      <c r="BF233" s="73"/>
      <c r="BG233" s="73"/>
      <c r="BH233" s="77"/>
      <c r="BI233" s="77"/>
      <c r="BJ233" s="77"/>
      <c r="BK233" s="77"/>
      <c r="BL233" s="77"/>
      <c r="BM233" s="77"/>
      <c r="BN233" s="158"/>
      <c r="BO233" s="158"/>
    </row>
    <row r="234" spans="1:67" ht="15" x14ac:dyDescent="0.25">
      <c r="A234" s="71"/>
      <c r="B234" s="11"/>
      <c r="C234" s="11"/>
      <c r="D234" s="11"/>
      <c r="E234" s="11"/>
      <c r="F234" s="11"/>
      <c r="G234" s="11"/>
      <c r="H234" s="11"/>
      <c r="I234" s="11"/>
      <c r="J234" s="249"/>
      <c r="K234" s="72"/>
      <c r="L234" s="73"/>
      <c r="M234" s="73"/>
      <c r="N234" s="74"/>
      <c r="O234" s="75"/>
      <c r="P234" s="73"/>
      <c r="Q234" s="76"/>
      <c r="R234" s="76"/>
      <c r="S234" s="76"/>
      <c r="T234" s="76"/>
      <c r="U234" s="76"/>
      <c r="V234" s="76"/>
      <c r="W234" s="76"/>
      <c r="X234" s="76"/>
      <c r="Y234" s="76"/>
      <c r="Z234" s="77"/>
      <c r="AA234" s="77"/>
      <c r="AB234" s="77"/>
      <c r="AC234" s="77"/>
      <c r="AD234" s="77"/>
      <c r="AE234" s="77"/>
      <c r="AF234" s="77"/>
      <c r="AG234" s="77"/>
      <c r="AH234" s="78"/>
      <c r="AI234" s="78"/>
      <c r="AJ234" s="78"/>
      <c r="AK234" s="78"/>
      <c r="AL234" s="78"/>
      <c r="AM234" s="78"/>
      <c r="AN234" s="76"/>
      <c r="AO234" s="76"/>
      <c r="AP234" s="76"/>
      <c r="AQ234" s="76"/>
      <c r="AR234" s="76"/>
      <c r="AS234" s="76"/>
      <c r="AT234" s="76"/>
      <c r="AU234" s="76"/>
      <c r="AV234" s="76"/>
      <c r="AW234" s="79"/>
      <c r="AX234" s="79"/>
      <c r="AY234" s="79"/>
      <c r="AZ234" s="79"/>
      <c r="BA234" s="79"/>
      <c r="BB234" s="11"/>
      <c r="BC234" s="11"/>
      <c r="BD234" s="11"/>
      <c r="BE234" s="73"/>
      <c r="BF234" s="73"/>
      <c r="BG234" s="73"/>
      <c r="BH234" s="77"/>
      <c r="BI234" s="77"/>
      <c r="BJ234" s="77"/>
      <c r="BK234" s="77"/>
      <c r="BL234" s="77"/>
      <c r="BM234" s="77"/>
      <c r="BN234" s="158"/>
      <c r="BO234" s="158"/>
    </row>
    <row r="235" spans="1:67" ht="15" x14ac:dyDescent="0.25">
      <c r="A235" s="71"/>
      <c r="B235" s="11"/>
      <c r="C235" s="11"/>
      <c r="D235" s="11"/>
      <c r="E235" s="11"/>
      <c r="F235" s="11"/>
      <c r="G235" s="11"/>
      <c r="H235" s="11"/>
      <c r="I235" s="11"/>
      <c r="J235" s="249"/>
      <c r="K235" s="72"/>
      <c r="L235" s="73"/>
      <c r="M235" s="73"/>
      <c r="N235" s="74"/>
      <c r="O235" s="75"/>
      <c r="P235" s="73"/>
      <c r="Q235" s="76"/>
      <c r="R235" s="76"/>
      <c r="S235" s="76"/>
      <c r="T235" s="76"/>
      <c r="U235" s="76"/>
      <c r="V235" s="76"/>
      <c r="W235" s="76"/>
      <c r="X235" s="76"/>
      <c r="Y235" s="76"/>
      <c r="Z235" s="77"/>
      <c r="AA235" s="77"/>
      <c r="AB235" s="77"/>
      <c r="AC235" s="77"/>
      <c r="AD235" s="77"/>
      <c r="AE235" s="77"/>
      <c r="AF235" s="77"/>
      <c r="AG235" s="77"/>
      <c r="AH235" s="78"/>
      <c r="AI235" s="78"/>
      <c r="AJ235" s="78"/>
      <c r="AK235" s="78"/>
      <c r="AL235" s="78"/>
      <c r="AM235" s="78"/>
      <c r="AN235" s="76"/>
      <c r="AO235" s="76"/>
      <c r="AP235" s="76"/>
      <c r="AQ235" s="76"/>
      <c r="AR235" s="76"/>
      <c r="AS235" s="76"/>
      <c r="AT235" s="76"/>
      <c r="AU235" s="76"/>
      <c r="AV235" s="76"/>
      <c r="AW235" s="79"/>
      <c r="AX235" s="79"/>
      <c r="AY235" s="79"/>
      <c r="AZ235" s="79"/>
      <c r="BA235" s="79"/>
      <c r="BB235" s="11"/>
      <c r="BC235" s="11"/>
      <c r="BD235" s="11"/>
      <c r="BE235" s="73"/>
      <c r="BF235" s="73"/>
      <c r="BG235" s="73"/>
      <c r="BH235" s="77"/>
      <c r="BI235" s="77"/>
      <c r="BJ235" s="77"/>
      <c r="BK235" s="77"/>
      <c r="BL235" s="77"/>
      <c r="BM235" s="77"/>
      <c r="BN235" s="158"/>
      <c r="BO235" s="158"/>
    </row>
    <row r="236" spans="1:67" ht="15" x14ac:dyDescent="0.25">
      <c r="A236" s="71"/>
      <c r="B236" s="11"/>
      <c r="C236" s="11"/>
      <c r="D236" s="11"/>
      <c r="E236" s="11"/>
      <c r="F236" s="11"/>
      <c r="G236" s="11"/>
      <c r="H236" s="11"/>
      <c r="I236" s="11"/>
      <c r="J236" s="249"/>
      <c r="K236" s="72"/>
      <c r="L236" s="73"/>
      <c r="M236" s="73"/>
      <c r="N236" s="74"/>
      <c r="O236" s="75"/>
      <c r="P236" s="73"/>
      <c r="Q236" s="76"/>
      <c r="R236" s="76"/>
      <c r="S236" s="76"/>
      <c r="T236" s="76"/>
      <c r="U236" s="76"/>
      <c r="V236" s="76"/>
      <c r="W236" s="76"/>
      <c r="X236" s="76"/>
      <c r="Y236" s="76"/>
      <c r="Z236" s="77"/>
      <c r="AA236" s="77"/>
      <c r="AB236" s="77"/>
      <c r="AC236" s="77"/>
      <c r="AD236" s="77"/>
      <c r="AE236" s="77"/>
      <c r="AF236" s="77"/>
      <c r="AG236" s="77"/>
      <c r="AH236" s="78"/>
      <c r="AI236" s="78"/>
      <c r="AJ236" s="78"/>
      <c r="AK236" s="78"/>
      <c r="AL236" s="78"/>
      <c r="AM236" s="78"/>
      <c r="AN236" s="76"/>
      <c r="AO236" s="76"/>
      <c r="AP236" s="76"/>
      <c r="AQ236" s="76"/>
      <c r="AR236" s="76"/>
      <c r="AS236" s="76"/>
      <c r="AT236" s="76"/>
      <c r="AU236" s="76"/>
      <c r="AV236" s="76"/>
      <c r="AW236" s="79"/>
      <c r="AX236" s="79"/>
      <c r="AY236" s="79"/>
      <c r="AZ236" s="79"/>
      <c r="BA236" s="79"/>
      <c r="BB236" s="11"/>
      <c r="BC236" s="11"/>
      <c r="BD236" s="11"/>
      <c r="BE236" s="73"/>
      <c r="BF236" s="73"/>
      <c r="BG236" s="73"/>
      <c r="BH236" s="77"/>
      <c r="BI236" s="77"/>
      <c r="BJ236" s="77"/>
      <c r="BK236" s="77"/>
      <c r="BL236" s="77"/>
      <c r="BM236" s="77"/>
      <c r="BN236" s="158"/>
      <c r="BO236" s="158"/>
    </row>
    <row r="237" spans="1:67" ht="15" x14ac:dyDescent="0.25">
      <c r="A237" s="71"/>
      <c r="B237" s="11"/>
      <c r="C237" s="11"/>
      <c r="D237" s="11"/>
      <c r="E237" s="11"/>
      <c r="F237" s="11"/>
      <c r="G237" s="11"/>
      <c r="H237" s="11"/>
      <c r="I237" s="11"/>
      <c r="J237" s="249"/>
      <c r="K237" s="72"/>
      <c r="L237" s="73"/>
      <c r="M237" s="73"/>
      <c r="N237" s="74"/>
      <c r="O237" s="75"/>
      <c r="P237" s="73"/>
      <c r="Q237" s="76"/>
      <c r="R237" s="76"/>
      <c r="S237" s="76"/>
      <c r="T237" s="76"/>
      <c r="U237" s="76"/>
      <c r="V237" s="76"/>
      <c r="W237" s="76"/>
      <c r="X237" s="76"/>
      <c r="Y237" s="76"/>
      <c r="Z237" s="77"/>
      <c r="AA237" s="77"/>
      <c r="AB237" s="77"/>
      <c r="AC237" s="77"/>
      <c r="AD237" s="77"/>
      <c r="AE237" s="77"/>
      <c r="AF237" s="77"/>
      <c r="AG237" s="77"/>
      <c r="AH237" s="78"/>
      <c r="AI237" s="78"/>
      <c r="AJ237" s="78"/>
      <c r="AK237" s="78"/>
      <c r="AL237" s="78"/>
      <c r="AM237" s="78"/>
      <c r="AN237" s="76"/>
      <c r="AO237" s="76"/>
      <c r="AP237" s="76"/>
      <c r="AQ237" s="76"/>
      <c r="AR237" s="76"/>
      <c r="AS237" s="76"/>
      <c r="AT237" s="76"/>
      <c r="AU237" s="76"/>
      <c r="AV237" s="76"/>
      <c r="AW237" s="79"/>
      <c r="AX237" s="79"/>
      <c r="AY237" s="79"/>
      <c r="AZ237" s="79"/>
      <c r="BA237" s="79"/>
      <c r="BB237" s="11"/>
      <c r="BC237" s="11"/>
      <c r="BD237" s="11"/>
      <c r="BE237" s="73"/>
      <c r="BF237" s="73"/>
      <c r="BG237" s="73"/>
      <c r="BH237" s="77"/>
      <c r="BI237" s="77"/>
      <c r="BJ237" s="77"/>
      <c r="BK237" s="77"/>
      <c r="BL237" s="77"/>
      <c r="BM237" s="77"/>
      <c r="BN237" s="158"/>
      <c r="BO237" s="158"/>
    </row>
    <row r="238" spans="1:67" ht="15" x14ac:dyDescent="0.25">
      <c r="A238" s="71"/>
      <c r="B238" s="11"/>
      <c r="C238" s="11"/>
      <c r="D238" s="11"/>
      <c r="E238" s="11"/>
      <c r="F238" s="11"/>
      <c r="G238" s="11"/>
      <c r="H238" s="11"/>
      <c r="I238" s="11"/>
      <c r="J238" s="249"/>
      <c r="K238" s="72"/>
      <c r="L238" s="73"/>
      <c r="M238" s="73"/>
      <c r="N238" s="74"/>
      <c r="O238" s="75"/>
      <c r="P238" s="73"/>
      <c r="Q238" s="76"/>
      <c r="R238" s="76"/>
      <c r="S238" s="76"/>
      <c r="T238" s="76"/>
      <c r="U238" s="76"/>
      <c r="V238" s="76"/>
      <c r="W238" s="76"/>
      <c r="X238" s="76"/>
      <c r="Y238" s="76"/>
      <c r="Z238" s="77"/>
      <c r="AA238" s="77"/>
      <c r="AB238" s="77"/>
      <c r="AC238" s="77"/>
      <c r="AD238" s="77"/>
      <c r="AE238" s="77"/>
      <c r="AF238" s="77"/>
      <c r="AG238" s="77"/>
      <c r="AH238" s="78"/>
      <c r="AI238" s="78"/>
      <c r="AJ238" s="78"/>
      <c r="AK238" s="78"/>
      <c r="AL238" s="78"/>
      <c r="AM238" s="78"/>
      <c r="AN238" s="76"/>
      <c r="AO238" s="76"/>
      <c r="AP238" s="76"/>
      <c r="AQ238" s="76"/>
      <c r="AR238" s="76"/>
      <c r="AS238" s="76"/>
      <c r="AT238" s="76"/>
      <c r="AU238" s="76"/>
      <c r="AV238" s="76"/>
      <c r="AW238" s="79"/>
      <c r="AX238" s="79"/>
      <c r="AY238" s="79"/>
      <c r="AZ238" s="79"/>
      <c r="BA238" s="79"/>
      <c r="BB238" s="11"/>
      <c r="BC238" s="11"/>
      <c r="BD238" s="11"/>
      <c r="BE238" s="73"/>
      <c r="BF238" s="73"/>
      <c r="BG238" s="73"/>
      <c r="BH238" s="77"/>
      <c r="BI238" s="77"/>
      <c r="BJ238" s="77"/>
      <c r="BK238" s="77"/>
      <c r="BL238" s="77"/>
      <c r="BM238" s="77"/>
      <c r="BN238" s="158"/>
      <c r="BO238" s="158"/>
    </row>
    <row r="239" spans="1:67" ht="15" x14ac:dyDescent="0.25">
      <c r="A239" s="71"/>
      <c r="B239" s="11"/>
      <c r="C239" s="11"/>
      <c r="D239" s="11"/>
      <c r="E239" s="11"/>
      <c r="F239" s="11"/>
      <c r="G239" s="11"/>
      <c r="H239" s="11"/>
      <c r="I239" s="11"/>
      <c r="J239" s="249"/>
      <c r="K239" s="72"/>
      <c r="L239" s="73"/>
      <c r="M239" s="73"/>
      <c r="N239" s="74"/>
      <c r="O239" s="75"/>
      <c r="P239" s="73"/>
      <c r="Q239" s="76"/>
      <c r="R239" s="76"/>
      <c r="S239" s="76"/>
      <c r="T239" s="76"/>
      <c r="U239" s="76"/>
      <c r="V239" s="76"/>
      <c r="W239" s="76"/>
      <c r="X239" s="76"/>
      <c r="Y239" s="76"/>
      <c r="Z239" s="77"/>
      <c r="AA239" s="77"/>
      <c r="AB239" s="77"/>
      <c r="AC239" s="77"/>
      <c r="AD239" s="77"/>
      <c r="AE239" s="77"/>
      <c r="AF239" s="77"/>
      <c r="AG239" s="77"/>
      <c r="AH239" s="78"/>
      <c r="AI239" s="78"/>
      <c r="AJ239" s="78"/>
      <c r="AK239" s="78"/>
      <c r="AL239" s="78"/>
      <c r="AM239" s="78"/>
      <c r="AN239" s="76"/>
      <c r="AO239" s="76"/>
      <c r="AP239" s="76"/>
      <c r="AQ239" s="76"/>
      <c r="AR239" s="76"/>
      <c r="AS239" s="76"/>
      <c r="AT239" s="76"/>
      <c r="AU239" s="76"/>
      <c r="AV239" s="76"/>
      <c r="AW239" s="79"/>
      <c r="AX239" s="79"/>
      <c r="AY239" s="79"/>
      <c r="AZ239" s="79"/>
      <c r="BA239" s="79"/>
      <c r="BB239" s="11"/>
      <c r="BC239" s="11"/>
      <c r="BD239" s="11"/>
      <c r="BE239" s="73"/>
      <c r="BF239" s="73"/>
      <c r="BG239" s="73"/>
      <c r="BH239" s="77"/>
      <c r="BI239" s="77"/>
      <c r="BJ239" s="77"/>
      <c r="BK239" s="77"/>
      <c r="BL239" s="77"/>
      <c r="BM239" s="77"/>
      <c r="BN239" s="158"/>
      <c r="BO239" s="158"/>
    </row>
    <row r="240" spans="1:67" ht="15" x14ac:dyDescent="0.25">
      <c r="A240" s="71"/>
      <c r="B240" s="11"/>
      <c r="C240" s="11"/>
      <c r="D240" s="11"/>
      <c r="E240" s="11"/>
      <c r="F240" s="11"/>
      <c r="G240" s="11"/>
      <c r="H240" s="11"/>
      <c r="I240" s="11"/>
      <c r="J240" s="249"/>
      <c r="K240" s="72"/>
      <c r="L240" s="73"/>
      <c r="M240" s="73"/>
      <c r="N240" s="74"/>
      <c r="O240" s="75"/>
      <c r="P240" s="73"/>
      <c r="Q240" s="76"/>
      <c r="R240" s="76"/>
      <c r="S240" s="76"/>
      <c r="T240" s="76"/>
      <c r="U240" s="76"/>
      <c r="V240" s="76"/>
      <c r="W240" s="76"/>
      <c r="X240" s="76"/>
      <c r="Y240" s="76"/>
      <c r="Z240" s="77"/>
      <c r="AA240" s="77"/>
      <c r="AB240" s="77"/>
      <c r="AC240" s="77"/>
      <c r="AD240" s="77"/>
      <c r="AE240" s="77"/>
      <c r="AF240" s="77"/>
      <c r="AG240" s="77"/>
      <c r="AH240" s="78"/>
      <c r="AI240" s="78"/>
      <c r="AJ240" s="78"/>
      <c r="AK240" s="78"/>
      <c r="AL240" s="78"/>
      <c r="AM240" s="78"/>
      <c r="AN240" s="76"/>
      <c r="AO240" s="76"/>
      <c r="AP240" s="76"/>
      <c r="AQ240" s="76"/>
      <c r="AR240" s="76"/>
      <c r="AS240" s="76"/>
      <c r="AT240" s="76"/>
      <c r="AU240" s="76"/>
      <c r="AV240" s="76"/>
      <c r="AW240" s="79"/>
      <c r="AX240" s="79"/>
      <c r="AY240" s="79"/>
      <c r="AZ240" s="79"/>
      <c r="BA240" s="79"/>
      <c r="BB240" s="11"/>
      <c r="BC240" s="11"/>
      <c r="BD240" s="11"/>
      <c r="BE240" s="73"/>
      <c r="BF240" s="73"/>
      <c r="BG240" s="73"/>
      <c r="BH240" s="77"/>
      <c r="BI240" s="77"/>
      <c r="BJ240" s="77"/>
      <c r="BK240" s="77"/>
      <c r="BL240" s="77"/>
      <c r="BM240" s="77"/>
      <c r="BN240" s="158"/>
      <c r="BO240" s="158"/>
    </row>
    <row r="241" spans="1:67" ht="15" x14ac:dyDescent="0.25">
      <c r="A241" s="71"/>
      <c r="B241" s="11"/>
      <c r="C241" s="11"/>
      <c r="D241" s="11"/>
      <c r="E241" s="11"/>
      <c r="F241" s="11"/>
      <c r="G241" s="11"/>
      <c r="H241" s="11"/>
      <c r="I241" s="11"/>
      <c r="J241" s="249"/>
      <c r="K241" s="72"/>
      <c r="L241" s="73"/>
      <c r="M241" s="73"/>
      <c r="N241" s="74"/>
      <c r="O241" s="75"/>
      <c r="P241" s="73"/>
      <c r="Q241" s="76"/>
      <c r="R241" s="76"/>
      <c r="S241" s="76"/>
      <c r="T241" s="76"/>
      <c r="U241" s="76"/>
      <c r="V241" s="76"/>
      <c r="W241" s="76"/>
      <c r="X241" s="76"/>
      <c r="Y241" s="76"/>
      <c r="Z241" s="77"/>
      <c r="AA241" s="77"/>
      <c r="AB241" s="77"/>
      <c r="AC241" s="77"/>
      <c r="AD241" s="77"/>
      <c r="AE241" s="77"/>
      <c r="AF241" s="77"/>
      <c r="AG241" s="77"/>
      <c r="AH241" s="78"/>
      <c r="AI241" s="78"/>
      <c r="AJ241" s="78"/>
      <c r="AK241" s="78"/>
      <c r="AL241" s="78"/>
      <c r="AM241" s="78"/>
      <c r="AN241" s="76"/>
      <c r="AO241" s="76"/>
      <c r="AP241" s="76"/>
      <c r="AQ241" s="76"/>
      <c r="AR241" s="76"/>
      <c r="AS241" s="76"/>
      <c r="AT241" s="76"/>
      <c r="AU241" s="76"/>
      <c r="AV241" s="76"/>
      <c r="AW241" s="79"/>
      <c r="AX241" s="79"/>
      <c r="AY241" s="79"/>
      <c r="AZ241" s="79"/>
      <c r="BA241" s="79"/>
      <c r="BB241" s="11"/>
      <c r="BC241" s="11"/>
      <c r="BD241" s="11"/>
      <c r="BE241" s="73"/>
      <c r="BF241" s="73"/>
      <c r="BG241" s="73"/>
      <c r="BH241" s="77"/>
      <c r="BI241" s="77"/>
      <c r="BJ241" s="77"/>
      <c r="BK241" s="77"/>
      <c r="BL241" s="77"/>
      <c r="BM241" s="77"/>
      <c r="BN241" s="158"/>
      <c r="BO241" s="158"/>
    </row>
    <row r="242" spans="1:67" ht="15" x14ac:dyDescent="0.25">
      <c r="A242" s="71"/>
      <c r="B242" s="11"/>
      <c r="C242" s="11"/>
      <c r="D242" s="11"/>
      <c r="E242" s="11"/>
      <c r="F242" s="11"/>
      <c r="G242" s="11"/>
      <c r="H242" s="11"/>
      <c r="I242" s="11"/>
      <c r="J242" s="249"/>
      <c r="K242" s="72"/>
      <c r="L242" s="73"/>
      <c r="M242" s="73"/>
      <c r="N242" s="74"/>
      <c r="O242" s="75"/>
      <c r="P242" s="73"/>
      <c r="Q242" s="76"/>
      <c r="R242" s="76"/>
      <c r="S242" s="76"/>
      <c r="T242" s="76"/>
      <c r="U242" s="76"/>
      <c r="V242" s="76"/>
      <c r="W242" s="76"/>
      <c r="X242" s="76"/>
      <c r="Y242" s="76"/>
      <c r="Z242" s="77"/>
      <c r="AA242" s="77"/>
      <c r="AB242" s="77"/>
      <c r="AC242" s="77"/>
      <c r="AD242" s="77"/>
      <c r="AE242" s="77"/>
      <c r="AF242" s="77"/>
      <c r="AG242" s="77"/>
      <c r="AH242" s="78"/>
      <c r="AI242" s="78"/>
      <c r="AJ242" s="78"/>
      <c r="AK242" s="78"/>
      <c r="AL242" s="78"/>
      <c r="AM242" s="78"/>
      <c r="AN242" s="76"/>
      <c r="AO242" s="76"/>
      <c r="AP242" s="76"/>
      <c r="AQ242" s="76"/>
      <c r="AR242" s="76"/>
      <c r="AS242" s="76"/>
      <c r="AT242" s="76"/>
      <c r="AU242" s="76"/>
      <c r="AV242" s="76"/>
      <c r="AW242" s="79"/>
      <c r="AX242" s="79"/>
      <c r="AY242" s="79"/>
      <c r="AZ242" s="79"/>
      <c r="BA242" s="79"/>
      <c r="BB242" s="11"/>
      <c r="BC242" s="11"/>
      <c r="BD242" s="11"/>
      <c r="BE242" s="73"/>
      <c r="BF242" s="73"/>
      <c r="BG242" s="73"/>
      <c r="BH242" s="77"/>
      <c r="BI242" s="77"/>
      <c r="BJ242" s="77"/>
      <c r="BK242" s="77"/>
      <c r="BL242" s="77"/>
      <c r="BM242" s="77"/>
      <c r="BN242" s="158"/>
      <c r="BO242" s="158"/>
    </row>
    <row r="243" spans="1:67" ht="15" x14ac:dyDescent="0.25">
      <c r="A243" s="71"/>
      <c r="B243" s="11"/>
      <c r="C243" s="11"/>
      <c r="D243" s="11"/>
      <c r="E243" s="11"/>
      <c r="F243" s="11"/>
      <c r="G243" s="11"/>
      <c r="H243" s="11"/>
      <c r="I243" s="11"/>
      <c r="J243" s="249"/>
      <c r="K243" s="72"/>
      <c r="L243" s="73"/>
      <c r="M243" s="73"/>
      <c r="N243" s="74"/>
      <c r="O243" s="75"/>
      <c r="P243" s="73"/>
      <c r="Q243" s="76"/>
      <c r="R243" s="76"/>
      <c r="S243" s="76"/>
      <c r="T243" s="76"/>
      <c r="U243" s="76"/>
      <c r="V243" s="76"/>
      <c r="W243" s="76"/>
      <c r="X243" s="76"/>
      <c r="Y243" s="76"/>
      <c r="Z243" s="77"/>
      <c r="AA243" s="77"/>
      <c r="AB243" s="77"/>
      <c r="AC243" s="77"/>
      <c r="AD243" s="77"/>
      <c r="AE243" s="77"/>
      <c r="AF243" s="77"/>
      <c r="AG243" s="77"/>
      <c r="AH243" s="78"/>
      <c r="AI243" s="78"/>
      <c r="AJ243" s="78"/>
      <c r="AK243" s="78"/>
      <c r="AL243" s="78"/>
      <c r="AM243" s="78"/>
      <c r="AN243" s="76"/>
      <c r="AO243" s="76"/>
      <c r="AP243" s="76"/>
      <c r="AQ243" s="76"/>
      <c r="AR243" s="76"/>
      <c r="AS243" s="76"/>
      <c r="AT243" s="76"/>
      <c r="AU243" s="76"/>
      <c r="AV243" s="76"/>
      <c r="AW243" s="79"/>
      <c r="AX243" s="79"/>
      <c r="AY243" s="79"/>
      <c r="AZ243" s="79"/>
      <c r="BA243" s="79"/>
      <c r="BB243" s="11"/>
      <c r="BC243" s="11"/>
      <c r="BD243" s="11"/>
      <c r="BE243" s="73"/>
      <c r="BF243" s="73"/>
      <c r="BG243" s="73"/>
      <c r="BH243" s="77"/>
      <c r="BI243" s="77"/>
      <c r="BJ243" s="77"/>
      <c r="BK243" s="77"/>
      <c r="BL243" s="77"/>
      <c r="BM243" s="77"/>
      <c r="BN243" s="158"/>
      <c r="BO243" s="158"/>
    </row>
    <row r="244" spans="1:67" ht="15" x14ac:dyDescent="0.25">
      <c r="A244" s="71"/>
      <c r="B244" s="11"/>
      <c r="C244" s="11"/>
      <c r="D244" s="11"/>
      <c r="E244" s="11"/>
      <c r="F244" s="11"/>
      <c r="G244" s="11"/>
      <c r="H244" s="11"/>
      <c r="I244" s="11"/>
      <c r="J244" s="249"/>
      <c r="K244" s="72"/>
      <c r="L244" s="73"/>
      <c r="M244" s="73"/>
      <c r="N244" s="74"/>
      <c r="O244" s="75"/>
      <c r="P244" s="73"/>
      <c r="Q244" s="76"/>
      <c r="R244" s="76"/>
      <c r="S244" s="76"/>
      <c r="T244" s="76"/>
      <c r="U244" s="76"/>
      <c r="V244" s="76"/>
      <c r="W244" s="76"/>
      <c r="X244" s="76"/>
      <c r="Y244" s="76"/>
      <c r="Z244" s="77"/>
      <c r="AA244" s="77"/>
      <c r="AB244" s="77"/>
      <c r="AC244" s="77"/>
      <c r="AD244" s="77"/>
      <c r="AE244" s="77"/>
      <c r="AF244" s="77"/>
      <c r="AG244" s="77"/>
      <c r="AH244" s="78"/>
      <c r="AI244" s="78"/>
      <c r="AJ244" s="78"/>
      <c r="AK244" s="78"/>
      <c r="AL244" s="78"/>
      <c r="AM244" s="78"/>
      <c r="AN244" s="76"/>
      <c r="AO244" s="76"/>
      <c r="AP244" s="76"/>
      <c r="AQ244" s="76"/>
      <c r="AR244" s="76"/>
      <c r="AS244" s="76"/>
      <c r="AT244" s="76"/>
      <c r="AU244" s="76"/>
      <c r="AV244" s="76"/>
      <c r="AW244" s="79"/>
      <c r="AX244" s="79"/>
      <c r="AY244" s="79"/>
      <c r="AZ244" s="79"/>
      <c r="BA244" s="79"/>
      <c r="BB244" s="11"/>
      <c r="BC244" s="11"/>
      <c r="BD244" s="11"/>
      <c r="BE244" s="73"/>
      <c r="BF244" s="73"/>
      <c r="BG244" s="73"/>
      <c r="BH244" s="77"/>
      <c r="BI244" s="77"/>
      <c r="BJ244" s="77"/>
      <c r="BK244" s="77"/>
      <c r="BL244" s="77"/>
      <c r="BM244" s="77"/>
      <c r="BN244" s="158"/>
      <c r="BO244" s="158"/>
    </row>
    <row r="245" spans="1:67" ht="15" x14ac:dyDescent="0.25">
      <c r="A245" s="71"/>
      <c r="B245" s="11"/>
      <c r="C245" s="11"/>
      <c r="D245" s="11"/>
      <c r="E245" s="11"/>
      <c r="F245" s="11"/>
      <c r="G245" s="11"/>
      <c r="H245" s="11"/>
      <c r="I245" s="11"/>
      <c r="J245" s="249"/>
      <c r="K245" s="72"/>
      <c r="L245" s="73"/>
      <c r="M245" s="73"/>
      <c r="N245" s="74"/>
      <c r="O245" s="75"/>
      <c r="P245" s="73"/>
      <c r="Q245" s="76"/>
      <c r="R245" s="76"/>
      <c r="S245" s="76"/>
      <c r="T245" s="76"/>
      <c r="U245" s="76"/>
      <c r="V245" s="76"/>
      <c r="W245" s="76"/>
      <c r="X245" s="76"/>
      <c r="Y245" s="76"/>
      <c r="Z245" s="77"/>
      <c r="AA245" s="77"/>
      <c r="AB245" s="77"/>
      <c r="AC245" s="77"/>
      <c r="AD245" s="77"/>
      <c r="AE245" s="77"/>
      <c r="AF245" s="77"/>
      <c r="AG245" s="77"/>
      <c r="AH245" s="78"/>
      <c r="AI245" s="78"/>
      <c r="AJ245" s="78"/>
      <c r="AK245" s="78"/>
      <c r="AL245" s="78"/>
      <c r="AM245" s="78"/>
      <c r="AN245" s="76"/>
      <c r="AO245" s="76"/>
      <c r="AP245" s="76"/>
      <c r="AQ245" s="76"/>
      <c r="AR245" s="76"/>
      <c r="AS245" s="76"/>
      <c r="AT245" s="76"/>
      <c r="AU245" s="76"/>
      <c r="AV245" s="76"/>
      <c r="AW245" s="79"/>
      <c r="AX245" s="79"/>
      <c r="AY245" s="79"/>
      <c r="AZ245" s="79"/>
      <c r="BA245" s="79"/>
      <c r="BB245" s="11"/>
      <c r="BC245" s="11"/>
      <c r="BD245" s="11"/>
      <c r="BE245" s="73"/>
      <c r="BF245" s="73"/>
      <c r="BG245" s="73"/>
      <c r="BH245" s="77"/>
      <c r="BI245" s="77"/>
      <c r="BJ245" s="77"/>
      <c r="BK245" s="77"/>
      <c r="BL245" s="77"/>
      <c r="BM245" s="77"/>
      <c r="BN245" s="158"/>
      <c r="BO245" s="158"/>
    </row>
    <row r="246" spans="1:67" ht="15" x14ac:dyDescent="0.25">
      <c r="A246" s="71"/>
      <c r="B246" s="11"/>
      <c r="C246" s="11"/>
      <c r="D246" s="11"/>
      <c r="E246" s="11"/>
      <c r="F246" s="11"/>
      <c r="G246" s="11"/>
      <c r="H246" s="11"/>
      <c r="I246" s="11"/>
      <c r="J246" s="249"/>
      <c r="K246" s="72"/>
      <c r="L246" s="73"/>
      <c r="M246" s="73"/>
      <c r="N246" s="74"/>
      <c r="O246" s="75"/>
      <c r="P246" s="73"/>
      <c r="Q246" s="76"/>
      <c r="R246" s="76"/>
      <c r="S246" s="76"/>
      <c r="T246" s="76"/>
      <c r="U246" s="76"/>
      <c r="V246" s="76"/>
      <c r="W246" s="76"/>
      <c r="X246" s="76"/>
      <c r="Y246" s="76"/>
      <c r="Z246" s="77"/>
      <c r="AA246" s="77"/>
      <c r="AB246" s="77"/>
      <c r="AC246" s="77"/>
      <c r="AD246" s="77"/>
      <c r="AE246" s="77"/>
      <c r="AF246" s="77"/>
      <c r="AG246" s="77"/>
      <c r="AH246" s="78"/>
      <c r="AI246" s="78"/>
      <c r="AJ246" s="78"/>
      <c r="AK246" s="78"/>
      <c r="AL246" s="78"/>
      <c r="AM246" s="78"/>
      <c r="AN246" s="76"/>
      <c r="AO246" s="76"/>
      <c r="AP246" s="76"/>
      <c r="AQ246" s="76"/>
      <c r="AR246" s="76"/>
      <c r="AS246" s="76"/>
      <c r="AT246" s="76"/>
      <c r="AU246" s="76"/>
      <c r="AV246" s="76"/>
      <c r="AW246" s="79"/>
      <c r="AX246" s="79"/>
      <c r="AY246" s="79"/>
      <c r="AZ246" s="79"/>
      <c r="BA246" s="79"/>
      <c r="BB246" s="11"/>
      <c r="BC246" s="11"/>
      <c r="BD246" s="11"/>
      <c r="BE246" s="73"/>
      <c r="BF246" s="73"/>
      <c r="BG246" s="73"/>
      <c r="BH246" s="77"/>
      <c r="BI246" s="77"/>
      <c r="BJ246" s="77"/>
      <c r="BK246" s="77"/>
      <c r="BL246" s="77"/>
      <c r="BM246" s="77"/>
      <c r="BN246" s="158"/>
      <c r="BO246" s="158"/>
    </row>
    <row r="247" spans="1:67" ht="15" x14ac:dyDescent="0.25">
      <c r="A247" s="71"/>
      <c r="B247" s="11"/>
      <c r="C247" s="11"/>
      <c r="D247" s="11"/>
      <c r="E247" s="11"/>
      <c r="F247" s="11"/>
      <c r="G247" s="11"/>
      <c r="H247" s="11"/>
      <c r="I247" s="11"/>
      <c r="J247" s="249"/>
      <c r="K247" s="72"/>
      <c r="L247" s="73"/>
      <c r="M247" s="73"/>
      <c r="N247" s="74"/>
      <c r="O247" s="75"/>
      <c r="P247" s="73"/>
      <c r="Q247" s="76"/>
      <c r="R247" s="76"/>
      <c r="S247" s="76"/>
      <c r="T247" s="76"/>
      <c r="U247" s="76"/>
      <c r="V247" s="76"/>
      <c r="W247" s="76"/>
      <c r="X247" s="76"/>
      <c r="Y247" s="76"/>
      <c r="Z247" s="77"/>
      <c r="AA247" s="77"/>
      <c r="AB247" s="77"/>
      <c r="AC247" s="77"/>
      <c r="AD247" s="77"/>
      <c r="AE247" s="77"/>
      <c r="AF247" s="77"/>
      <c r="AG247" s="77"/>
      <c r="AH247" s="78"/>
      <c r="AI247" s="78"/>
      <c r="AJ247" s="78"/>
      <c r="AK247" s="78"/>
      <c r="AL247" s="78"/>
      <c r="AM247" s="78"/>
      <c r="AN247" s="76"/>
      <c r="AO247" s="76"/>
      <c r="AP247" s="76"/>
      <c r="AQ247" s="76"/>
      <c r="AR247" s="76"/>
      <c r="AS247" s="76"/>
      <c r="AT247" s="76"/>
      <c r="AU247" s="76"/>
      <c r="AV247" s="76"/>
      <c r="AW247" s="79"/>
      <c r="AX247" s="79"/>
      <c r="AY247" s="79"/>
      <c r="AZ247" s="79"/>
      <c r="BA247" s="79"/>
      <c r="BB247" s="11"/>
      <c r="BC247" s="11"/>
      <c r="BD247" s="11"/>
      <c r="BE247" s="73"/>
      <c r="BF247" s="73"/>
      <c r="BG247" s="73"/>
      <c r="BH247" s="77"/>
      <c r="BI247" s="77"/>
      <c r="BJ247" s="77"/>
      <c r="BK247" s="77"/>
      <c r="BL247" s="77"/>
      <c r="BM247" s="77"/>
      <c r="BN247" s="158"/>
      <c r="BO247" s="158"/>
    </row>
    <row r="248" spans="1:67" ht="15" x14ac:dyDescent="0.25">
      <c r="A248" s="71"/>
      <c r="B248" s="11"/>
      <c r="C248" s="11"/>
      <c r="D248" s="11"/>
      <c r="E248" s="11"/>
      <c r="F248" s="11"/>
      <c r="G248" s="11"/>
      <c r="H248" s="11"/>
      <c r="I248" s="11"/>
      <c r="J248" s="249"/>
      <c r="K248" s="72"/>
      <c r="L248" s="73"/>
      <c r="M248" s="73"/>
      <c r="N248" s="74"/>
      <c r="O248" s="75"/>
      <c r="P248" s="73"/>
      <c r="Q248" s="76"/>
      <c r="R248" s="76"/>
      <c r="S248" s="76"/>
      <c r="T248" s="76"/>
      <c r="U248" s="76"/>
      <c r="V248" s="76"/>
      <c r="W248" s="76"/>
      <c r="X248" s="76"/>
      <c r="Y248" s="76"/>
      <c r="Z248" s="77"/>
      <c r="AA248" s="77"/>
      <c r="AB248" s="77"/>
      <c r="AC248" s="77"/>
      <c r="AD248" s="77"/>
      <c r="AE248" s="77"/>
      <c r="AF248" s="77"/>
      <c r="AG248" s="77"/>
      <c r="AH248" s="78"/>
      <c r="AI248" s="78"/>
      <c r="AJ248" s="78"/>
      <c r="AK248" s="78"/>
      <c r="AL248" s="78"/>
      <c r="AM248" s="78"/>
      <c r="AN248" s="76"/>
      <c r="AO248" s="76"/>
      <c r="AP248" s="76"/>
      <c r="AQ248" s="76"/>
      <c r="AR248" s="76"/>
      <c r="AS248" s="76"/>
      <c r="AT248" s="76"/>
      <c r="AU248" s="76"/>
      <c r="AV248" s="76"/>
      <c r="AW248" s="79"/>
      <c r="AX248" s="79"/>
      <c r="AY248" s="79"/>
      <c r="AZ248" s="79"/>
      <c r="BA248" s="79"/>
      <c r="BB248" s="11"/>
      <c r="BC248" s="11"/>
      <c r="BD248" s="11"/>
      <c r="BE248" s="73"/>
      <c r="BF248" s="73"/>
      <c r="BG248" s="73"/>
      <c r="BH248" s="77"/>
      <c r="BI248" s="77"/>
      <c r="BJ248" s="77"/>
      <c r="BK248" s="77"/>
      <c r="BL248" s="77"/>
      <c r="BM248" s="77"/>
      <c r="BN248" s="158"/>
      <c r="BO248" s="158"/>
    </row>
    <row r="249" spans="1:67" ht="15" x14ac:dyDescent="0.25">
      <c r="A249" s="71"/>
      <c r="B249" s="11"/>
      <c r="C249" s="11"/>
      <c r="D249" s="11"/>
      <c r="E249" s="11"/>
      <c r="F249" s="11"/>
      <c r="G249" s="11"/>
      <c r="H249" s="11"/>
      <c r="I249" s="11"/>
      <c r="J249" s="249"/>
      <c r="K249" s="72"/>
      <c r="L249" s="73"/>
      <c r="M249" s="73"/>
      <c r="N249" s="74"/>
      <c r="O249" s="75"/>
      <c r="P249" s="73"/>
      <c r="Q249" s="76"/>
      <c r="R249" s="76"/>
      <c r="S249" s="76"/>
      <c r="T249" s="76"/>
      <c r="U249" s="76"/>
      <c r="V249" s="76"/>
      <c r="W249" s="76"/>
      <c r="X249" s="76"/>
      <c r="Y249" s="76"/>
      <c r="Z249" s="77"/>
      <c r="AA249" s="77"/>
      <c r="AB249" s="77"/>
      <c r="AC249" s="77"/>
      <c r="AD249" s="77"/>
      <c r="AE249" s="77"/>
      <c r="AF249" s="77"/>
      <c r="AG249" s="77"/>
      <c r="AH249" s="78"/>
      <c r="AI249" s="78"/>
      <c r="AJ249" s="78"/>
      <c r="AK249" s="78"/>
      <c r="AL249" s="78"/>
      <c r="AM249" s="78"/>
      <c r="AN249" s="76"/>
      <c r="AO249" s="76"/>
      <c r="AP249" s="76"/>
      <c r="AQ249" s="76"/>
      <c r="AR249" s="76"/>
      <c r="AS249" s="76"/>
      <c r="AT249" s="76"/>
      <c r="AU249" s="76"/>
      <c r="AV249" s="76"/>
      <c r="AW249" s="79"/>
      <c r="AX249" s="79"/>
      <c r="AY249" s="79"/>
      <c r="AZ249" s="79"/>
      <c r="BA249" s="79"/>
      <c r="BB249" s="11"/>
      <c r="BC249" s="11"/>
      <c r="BD249" s="11"/>
      <c r="BE249" s="73"/>
      <c r="BF249" s="73"/>
      <c r="BG249" s="73"/>
      <c r="BH249" s="77"/>
      <c r="BI249" s="77"/>
      <c r="BJ249" s="77"/>
      <c r="BK249" s="77"/>
      <c r="BL249" s="77"/>
      <c r="BM249" s="77"/>
      <c r="BN249" s="158"/>
      <c r="BO249" s="158"/>
    </row>
    <row r="250" spans="1:67" ht="15" x14ac:dyDescent="0.25">
      <c r="A250" s="71"/>
      <c r="B250" s="11"/>
      <c r="C250" s="11"/>
      <c r="D250" s="11"/>
      <c r="E250" s="11"/>
      <c r="F250" s="11"/>
      <c r="G250" s="11"/>
      <c r="H250" s="11"/>
      <c r="I250" s="11"/>
      <c r="J250" s="249"/>
      <c r="K250" s="72"/>
      <c r="L250" s="73"/>
      <c r="M250" s="73"/>
      <c r="N250" s="74"/>
      <c r="O250" s="75"/>
      <c r="P250" s="73"/>
      <c r="Q250" s="76"/>
      <c r="R250" s="76"/>
      <c r="S250" s="76"/>
      <c r="T250" s="76"/>
      <c r="U250" s="76"/>
      <c r="V250" s="76"/>
      <c r="W250" s="76"/>
      <c r="X250" s="76"/>
      <c r="Y250" s="76"/>
      <c r="Z250" s="77"/>
      <c r="AA250" s="77"/>
      <c r="AB250" s="77"/>
      <c r="AC250" s="77"/>
      <c r="AD250" s="77"/>
      <c r="AE250" s="77"/>
      <c r="AF250" s="77"/>
      <c r="AG250" s="77"/>
      <c r="AH250" s="78"/>
      <c r="AI250" s="78"/>
      <c r="AJ250" s="78"/>
      <c r="AK250" s="78"/>
      <c r="AL250" s="78"/>
      <c r="AM250" s="78"/>
      <c r="AN250" s="76"/>
      <c r="AO250" s="76"/>
      <c r="AP250" s="76"/>
      <c r="AQ250" s="76"/>
      <c r="AR250" s="76"/>
      <c r="AS250" s="76"/>
      <c r="AT250" s="76"/>
      <c r="AU250" s="76"/>
      <c r="AV250" s="76"/>
      <c r="AW250" s="79"/>
      <c r="AX250" s="79"/>
      <c r="AY250" s="79"/>
      <c r="AZ250" s="79"/>
      <c r="BA250" s="79"/>
      <c r="BB250" s="11"/>
      <c r="BC250" s="11"/>
      <c r="BD250" s="11"/>
      <c r="BE250" s="73"/>
      <c r="BF250" s="73"/>
      <c r="BG250" s="73"/>
      <c r="BH250" s="77"/>
      <c r="BI250" s="77"/>
      <c r="BJ250" s="77"/>
      <c r="BK250" s="77"/>
      <c r="BL250" s="77"/>
      <c r="BM250" s="77"/>
      <c r="BN250" s="158"/>
      <c r="BO250" s="158"/>
    </row>
    <row r="251" spans="1:67" ht="15" x14ac:dyDescent="0.25">
      <c r="A251" s="71"/>
      <c r="B251" s="11"/>
      <c r="C251" s="11"/>
      <c r="D251" s="11"/>
      <c r="E251" s="11"/>
      <c r="F251" s="11"/>
      <c r="G251" s="11"/>
      <c r="H251" s="11"/>
      <c r="I251" s="11"/>
      <c r="J251" s="249"/>
      <c r="K251" s="72"/>
      <c r="L251" s="73"/>
      <c r="M251" s="73"/>
      <c r="N251" s="74"/>
      <c r="O251" s="75"/>
      <c r="P251" s="73"/>
      <c r="Q251" s="76"/>
      <c r="R251" s="76"/>
      <c r="S251" s="76"/>
      <c r="T251" s="76"/>
      <c r="U251" s="76"/>
      <c r="V251" s="76"/>
      <c r="W251" s="76"/>
      <c r="X251" s="76"/>
      <c r="Y251" s="76"/>
      <c r="Z251" s="77"/>
      <c r="AA251" s="77"/>
      <c r="AB251" s="77"/>
      <c r="AC251" s="77"/>
      <c r="AD251" s="77"/>
      <c r="AE251" s="77"/>
      <c r="AF251" s="77"/>
      <c r="AG251" s="77"/>
      <c r="AH251" s="78"/>
      <c r="AI251" s="78"/>
      <c r="AJ251" s="78"/>
      <c r="AK251" s="78"/>
      <c r="AL251" s="78"/>
      <c r="AM251" s="78"/>
      <c r="AN251" s="76"/>
      <c r="AO251" s="76"/>
      <c r="AP251" s="76"/>
      <c r="AQ251" s="76"/>
      <c r="AR251" s="76"/>
      <c r="AS251" s="76"/>
      <c r="AT251" s="76"/>
      <c r="AU251" s="76"/>
      <c r="AV251" s="76"/>
      <c r="AW251" s="79"/>
      <c r="AX251" s="79"/>
      <c r="AY251" s="79"/>
      <c r="AZ251" s="79"/>
      <c r="BA251" s="79"/>
      <c r="BB251" s="11"/>
      <c r="BC251" s="11"/>
      <c r="BD251" s="11"/>
      <c r="BE251" s="73"/>
      <c r="BF251" s="73"/>
      <c r="BG251" s="73"/>
      <c r="BH251" s="77"/>
      <c r="BI251" s="77"/>
      <c r="BJ251" s="77"/>
      <c r="BK251" s="77"/>
      <c r="BL251" s="77"/>
      <c r="BM251" s="77"/>
      <c r="BN251" s="158"/>
      <c r="BO251" s="158"/>
    </row>
    <row r="252" spans="1:67" ht="15" x14ac:dyDescent="0.25">
      <c r="A252" s="71"/>
      <c r="B252" s="11"/>
      <c r="C252" s="11"/>
      <c r="D252" s="11"/>
      <c r="E252" s="11"/>
      <c r="F252" s="11"/>
      <c r="G252" s="11"/>
      <c r="H252" s="11"/>
      <c r="I252" s="11"/>
      <c r="J252" s="249"/>
      <c r="K252" s="72"/>
      <c r="L252" s="73"/>
      <c r="M252" s="73"/>
      <c r="N252" s="74"/>
      <c r="O252" s="75"/>
      <c r="P252" s="73"/>
      <c r="Q252" s="76"/>
      <c r="R252" s="76"/>
      <c r="S252" s="76"/>
      <c r="T252" s="76"/>
      <c r="U252" s="76"/>
      <c r="V252" s="76"/>
      <c r="W252" s="76"/>
      <c r="X252" s="76"/>
      <c r="Y252" s="76"/>
      <c r="Z252" s="77"/>
      <c r="AA252" s="77"/>
      <c r="AB252" s="77"/>
      <c r="AC252" s="77"/>
      <c r="AD252" s="77"/>
      <c r="AE252" s="77"/>
      <c r="AF252" s="77"/>
      <c r="AG252" s="77"/>
      <c r="AH252" s="78"/>
      <c r="AI252" s="78"/>
      <c r="AJ252" s="78"/>
      <c r="AK252" s="78"/>
      <c r="AL252" s="78"/>
      <c r="AM252" s="78"/>
      <c r="AN252" s="76"/>
      <c r="AO252" s="76"/>
      <c r="AP252" s="76"/>
      <c r="AQ252" s="76"/>
      <c r="AR252" s="76"/>
      <c r="AS252" s="76"/>
      <c r="AT252" s="76"/>
      <c r="AU252" s="76"/>
      <c r="AV252" s="76"/>
      <c r="AW252" s="79"/>
      <c r="AX252" s="79"/>
      <c r="AY252" s="79"/>
      <c r="AZ252" s="79"/>
      <c r="BA252" s="79"/>
      <c r="BB252" s="11"/>
      <c r="BC252" s="11"/>
      <c r="BD252" s="11"/>
      <c r="BE252" s="73"/>
      <c r="BF252" s="73"/>
      <c r="BG252" s="73"/>
      <c r="BH252" s="77"/>
      <c r="BI252" s="77"/>
      <c r="BJ252" s="77"/>
      <c r="BK252" s="77"/>
      <c r="BL252" s="77"/>
      <c r="BM252" s="77"/>
      <c r="BN252" s="158"/>
      <c r="BO252" s="158"/>
    </row>
    <row r="253" spans="1:67" ht="15" x14ac:dyDescent="0.25">
      <c r="A253" s="71"/>
      <c r="B253" s="11"/>
      <c r="C253" s="11"/>
      <c r="D253" s="11"/>
      <c r="E253" s="11"/>
      <c r="F253" s="11"/>
      <c r="G253" s="11"/>
      <c r="H253" s="11"/>
      <c r="I253" s="11"/>
      <c r="J253" s="249"/>
      <c r="K253" s="72"/>
      <c r="L253" s="73"/>
      <c r="M253" s="73"/>
      <c r="N253" s="74"/>
      <c r="O253" s="75"/>
      <c r="P253" s="73"/>
      <c r="Q253" s="76"/>
      <c r="R253" s="76"/>
      <c r="S253" s="76"/>
      <c r="T253" s="76"/>
      <c r="U253" s="76"/>
      <c r="V253" s="76"/>
      <c r="W253" s="76"/>
      <c r="X253" s="76"/>
      <c r="Y253" s="76"/>
      <c r="Z253" s="77"/>
      <c r="AA253" s="77"/>
      <c r="AB253" s="77"/>
      <c r="AC253" s="77"/>
      <c r="AD253" s="77"/>
      <c r="AE253" s="77"/>
      <c r="AF253" s="77"/>
      <c r="AG253" s="77"/>
      <c r="AH253" s="78"/>
      <c r="AI253" s="78"/>
      <c r="AJ253" s="78"/>
      <c r="AK253" s="78"/>
      <c r="AL253" s="78"/>
      <c r="AM253" s="78"/>
      <c r="AN253" s="76"/>
      <c r="AO253" s="76"/>
      <c r="AP253" s="76"/>
      <c r="AQ253" s="76"/>
      <c r="AR253" s="76"/>
      <c r="AS253" s="76"/>
      <c r="AT253" s="76"/>
      <c r="AU253" s="76"/>
      <c r="AV253" s="76"/>
      <c r="AW253" s="79"/>
      <c r="AX253" s="79"/>
      <c r="AY253" s="79"/>
      <c r="AZ253" s="79"/>
      <c r="BA253" s="79"/>
      <c r="BB253" s="11"/>
      <c r="BC253" s="11"/>
      <c r="BD253" s="11"/>
      <c r="BE253" s="73"/>
      <c r="BF253" s="73"/>
      <c r="BG253" s="73"/>
      <c r="BH253" s="77"/>
      <c r="BI253" s="77"/>
      <c r="BJ253" s="77"/>
      <c r="BK253" s="77"/>
      <c r="BL253" s="77"/>
      <c r="BM253" s="77"/>
      <c r="BN253" s="158"/>
      <c r="BO253" s="158"/>
    </row>
    <row r="254" spans="1:67" ht="15" x14ac:dyDescent="0.25">
      <c r="A254" s="71"/>
      <c r="B254" s="11"/>
      <c r="C254" s="11"/>
      <c r="D254" s="11"/>
      <c r="E254" s="11"/>
      <c r="F254" s="11"/>
      <c r="G254" s="11"/>
      <c r="H254" s="11"/>
      <c r="I254" s="11"/>
      <c r="J254" s="249"/>
      <c r="K254" s="72"/>
      <c r="L254" s="73"/>
      <c r="M254" s="73"/>
      <c r="N254" s="74"/>
      <c r="O254" s="75"/>
      <c r="P254" s="73"/>
      <c r="Q254" s="76"/>
      <c r="R254" s="76"/>
      <c r="S254" s="76"/>
      <c r="T254" s="76"/>
      <c r="U254" s="76"/>
      <c r="V254" s="76"/>
      <c r="W254" s="76"/>
      <c r="X254" s="76"/>
      <c r="Y254" s="76"/>
      <c r="Z254" s="77"/>
      <c r="AA254" s="77"/>
      <c r="AB254" s="77"/>
      <c r="AC254" s="77"/>
      <c r="AD254" s="77"/>
      <c r="AE254" s="77"/>
      <c r="AF254" s="77"/>
      <c r="AG254" s="77"/>
      <c r="AH254" s="78"/>
      <c r="AI254" s="78"/>
      <c r="AJ254" s="78"/>
      <c r="AK254" s="78"/>
      <c r="AL254" s="78"/>
      <c r="AM254" s="78"/>
      <c r="AN254" s="76"/>
      <c r="AO254" s="76"/>
      <c r="AP254" s="76"/>
      <c r="AQ254" s="76"/>
      <c r="AR254" s="76"/>
      <c r="AS254" s="76"/>
      <c r="AT254" s="76"/>
      <c r="AU254" s="76"/>
      <c r="AV254" s="76"/>
      <c r="AW254" s="79"/>
      <c r="AX254" s="79"/>
      <c r="AY254" s="79"/>
      <c r="AZ254" s="79"/>
      <c r="BA254" s="79"/>
      <c r="BB254" s="11"/>
      <c r="BC254" s="11"/>
      <c r="BD254" s="11"/>
      <c r="BE254" s="73"/>
      <c r="BF254" s="73"/>
      <c r="BG254" s="73"/>
      <c r="BH254" s="77"/>
      <c r="BI254" s="77"/>
      <c r="BJ254" s="77"/>
      <c r="BK254" s="77"/>
      <c r="BL254" s="77"/>
      <c r="BM254" s="77"/>
      <c r="BN254" s="158"/>
      <c r="BO254" s="158"/>
    </row>
    <row r="255" spans="1:67" ht="15" x14ac:dyDescent="0.25">
      <c r="A255" s="71"/>
      <c r="B255" s="11"/>
      <c r="C255" s="11"/>
      <c r="D255" s="11"/>
      <c r="E255" s="11"/>
      <c r="F255" s="11"/>
      <c r="G255" s="11"/>
      <c r="H255" s="11"/>
      <c r="I255" s="11"/>
      <c r="J255" s="249"/>
      <c r="K255" s="72"/>
      <c r="L255" s="73"/>
      <c r="M255" s="73"/>
      <c r="N255" s="74"/>
      <c r="O255" s="75"/>
      <c r="P255" s="73"/>
      <c r="Q255" s="76"/>
      <c r="R255" s="76"/>
      <c r="S255" s="76"/>
      <c r="T255" s="76"/>
      <c r="U255" s="76"/>
      <c r="V255" s="76"/>
      <c r="W255" s="76"/>
      <c r="X255" s="76"/>
      <c r="Y255" s="76"/>
      <c r="Z255" s="77"/>
      <c r="AA255" s="77"/>
      <c r="AB255" s="77"/>
      <c r="AC255" s="77"/>
      <c r="AD255" s="77"/>
      <c r="AE255" s="77"/>
      <c r="AF255" s="77"/>
      <c r="AG255" s="77"/>
      <c r="AH255" s="78"/>
      <c r="AI255" s="78"/>
      <c r="AJ255" s="78"/>
      <c r="AK255" s="78"/>
      <c r="AL255" s="78"/>
      <c r="AM255" s="78"/>
      <c r="AN255" s="76"/>
      <c r="AO255" s="76"/>
      <c r="AP255" s="76"/>
      <c r="AQ255" s="76"/>
      <c r="AR255" s="76"/>
      <c r="AS255" s="76"/>
      <c r="AT255" s="76"/>
      <c r="AU255" s="76"/>
      <c r="AV255" s="76"/>
      <c r="AW255" s="79"/>
      <c r="AX255" s="79"/>
      <c r="AY255" s="79"/>
      <c r="AZ255" s="79"/>
      <c r="BA255" s="79"/>
      <c r="BB255" s="11"/>
      <c r="BC255" s="11"/>
      <c r="BD255" s="11"/>
      <c r="BE255" s="73"/>
      <c r="BF255" s="73"/>
      <c r="BG255" s="73"/>
      <c r="BH255" s="77"/>
      <c r="BI255" s="77"/>
      <c r="BJ255" s="77"/>
      <c r="BK255" s="77"/>
      <c r="BL255" s="77"/>
      <c r="BM255" s="77"/>
      <c r="BN255" s="158"/>
      <c r="BO255" s="158"/>
    </row>
    <row r="256" spans="1:67" ht="15" x14ac:dyDescent="0.25">
      <c r="A256" s="71"/>
      <c r="B256" s="11"/>
      <c r="C256" s="11"/>
      <c r="D256" s="11"/>
      <c r="E256" s="11"/>
      <c r="F256" s="11"/>
      <c r="G256" s="11"/>
      <c r="H256" s="11"/>
      <c r="I256" s="11"/>
      <c r="J256" s="249"/>
      <c r="K256" s="72"/>
      <c r="L256" s="73"/>
      <c r="M256" s="73"/>
      <c r="N256" s="74"/>
      <c r="O256" s="75"/>
      <c r="P256" s="73"/>
      <c r="Q256" s="76"/>
      <c r="R256" s="76"/>
      <c r="S256" s="76"/>
      <c r="T256" s="76"/>
      <c r="U256" s="76"/>
      <c r="V256" s="76"/>
      <c r="W256" s="76"/>
      <c r="X256" s="76"/>
      <c r="Y256" s="76"/>
      <c r="Z256" s="77"/>
      <c r="AA256" s="77"/>
      <c r="AB256" s="77"/>
      <c r="AC256" s="77"/>
      <c r="AD256" s="77"/>
      <c r="AE256" s="77"/>
      <c r="AF256" s="77"/>
      <c r="AG256" s="77"/>
      <c r="AH256" s="78"/>
      <c r="AI256" s="78"/>
      <c r="AJ256" s="78"/>
      <c r="AK256" s="78"/>
      <c r="AL256" s="78"/>
      <c r="AM256" s="78"/>
      <c r="AN256" s="76"/>
      <c r="AO256" s="76"/>
      <c r="AP256" s="76"/>
      <c r="AQ256" s="76"/>
      <c r="AR256" s="76"/>
      <c r="AS256" s="76"/>
      <c r="AT256" s="76"/>
      <c r="AU256" s="76"/>
      <c r="AV256" s="76"/>
      <c r="AW256" s="79"/>
      <c r="AX256" s="79"/>
      <c r="AY256" s="79"/>
      <c r="AZ256" s="79"/>
      <c r="BA256" s="79"/>
      <c r="BB256" s="11"/>
      <c r="BC256" s="11"/>
      <c r="BD256" s="11"/>
      <c r="BE256" s="73"/>
      <c r="BF256" s="73"/>
      <c r="BG256" s="73"/>
      <c r="BH256" s="77"/>
      <c r="BI256" s="77"/>
      <c r="BJ256" s="77"/>
      <c r="BK256" s="77"/>
      <c r="BL256" s="77"/>
      <c r="BM256" s="77"/>
      <c r="BN256" s="158"/>
      <c r="BO256" s="158"/>
    </row>
    <row r="257" spans="1:67" ht="15" x14ac:dyDescent="0.25">
      <c r="A257" s="71"/>
      <c r="B257" s="11"/>
      <c r="C257" s="11"/>
      <c r="D257" s="11"/>
      <c r="E257" s="11"/>
      <c r="F257" s="11"/>
      <c r="G257" s="11"/>
      <c r="H257" s="11"/>
      <c r="I257" s="11"/>
      <c r="J257" s="249"/>
      <c r="K257" s="72"/>
      <c r="L257" s="73"/>
      <c r="M257" s="73"/>
      <c r="N257" s="74"/>
      <c r="O257" s="75"/>
      <c r="P257" s="73"/>
      <c r="Q257" s="76"/>
      <c r="R257" s="76"/>
      <c r="S257" s="76"/>
      <c r="T257" s="76"/>
      <c r="U257" s="76"/>
      <c r="V257" s="76"/>
      <c r="W257" s="76"/>
      <c r="X257" s="76"/>
      <c r="Y257" s="76"/>
      <c r="Z257" s="77"/>
      <c r="AA257" s="77"/>
      <c r="AB257" s="77"/>
      <c r="AC257" s="77"/>
      <c r="AD257" s="77"/>
      <c r="AE257" s="77"/>
      <c r="AF257" s="77"/>
      <c r="AG257" s="77"/>
      <c r="AH257" s="78"/>
      <c r="AI257" s="78"/>
      <c r="AJ257" s="78"/>
      <c r="AK257" s="78"/>
      <c r="AL257" s="78"/>
      <c r="AM257" s="78"/>
      <c r="AN257" s="76"/>
      <c r="AO257" s="76"/>
      <c r="AP257" s="76"/>
      <c r="AQ257" s="76"/>
      <c r="AR257" s="76"/>
      <c r="AS257" s="76"/>
      <c r="AT257" s="76"/>
      <c r="AU257" s="76"/>
      <c r="AV257" s="76"/>
      <c r="AW257" s="79"/>
      <c r="AX257" s="79"/>
      <c r="AY257" s="79"/>
      <c r="AZ257" s="79"/>
      <c r="BA257" s="79"/>
      <c r="BB257" s="11"/>
      <c r="BC257" s="11"/>
      <c r="BD257" s="11"/>
      <c r="BE257" s="73"/>
      <c r="BF257" s="73"/>
      <c r="BG257" s="73"/>
      <c r="BH257" s="77"/>
      <c r="BI257" s="77"/>
      <c r="BJ257" s="77"/>
      <c r="BK257" s="77"/>
      <c r="BL257" s="77"/>
      <c r="BM257" s="77"/>
      <c r="BN257" s="158"/>
      <c r="BO257" s="158"/>
    </row>
    <row r="258" spans="1:67" ht="15" x14ac:dyDescent="0.25">
      <c r="A258" s="71"/>
      <c r="B258" s="11"/>
      <c r="C258" s="11"/>
      <c r="D258" s="11"/>
      <c r="E258" s="11"/>
      <c r="F258" s="11"/>
      <c r="G258" s="11"/>
      <c r="H258" s="11"/>
      <c r="I258" s="11"/>
      <c r="J258" s="249"/>
      <c r="K258" s="72"/>
      <c r="L258" s="73"/>
      <c r="M258" s="73"/>
      <c r="N258" s="74"/>
      <c r="O258" s="75"/>
      <c r="P258" s="73"/>
      <c r="Q258" s="76"/>
      <c r="R258" s="76"/>
      <c r="S258" s="76"/>
      <c r="T258" s="76"/>
      <c r="U258" s="76"/>
      <c r="V258" s="76"/>
      <c r="W258" s="76"/>
      <c r="X258" s="76"/>
      <c r="Y258" s="76"/>
      <c r="Z258" s="77"/>
      <c r="AA258" s="77"/>
      <c r="AB258" s="77"/>
      <c r="AC258" s="77"/>
      <c r="AD258" s="77"/>
      <c r="AE258" s="77"/>
      <c r="AF258" s="77"/>
      <c r="AG258" s="77"/>
      <c r="AH258" s="78"/>
      <c r="AI258" s="78"/>
      <c r="AJ258" s="78"/>
      <c r="AK258" s="78"/>
      <c r="AL258" s="78"/>
      <c r="AM258" s="78"/>
      <c r="AN258" s="76"/>
      <c r="AO258" s="76"/>
      <c r="AP258" s="76"/>
      <c r="AQ258" s="76"/>
      <c r="AR258" s="76"/>
      <c r="AS258" s="76"/>
      <c r="AT258" s="76"/>
      <c r="AU258" s="76"/>
      <c r="AV258" s="76"/>
      <c r="AW258" s="79"/>
      <c r="AX258" s="79"/>
      <c r="AY258" s="79"/>
      <c r="AZ258" s="79"/>
      <c r="BA258" s="79"/>
      <c r="BB258" s="11"/>
      <c r="BC258" s="11"/>
      <c r="BD258" s="11"/>
      <c r="BE258" s="73"/>
      <c r="BF258" s="73"/>
      <c r="BG258" s="73"/>
      <c r="BH258" s="77"/>
      <c r="BI258" s="77"/>
      <c r="BJ258" s="77"/>
      <c r="BK258" s="77"/>
      <c r="BL258" s="77"/>
      <c r="BM258" s="77"/>
      <c r="BN258" s="158"/>
      <c r="BO258" s="158"/>
    </row>
    <row r="259" spans="1:67" ht="15" x14ac:dyDescent="0.25">
      <c r="A259" s="71"/>
      <c r="B259" s="11"/>
      <c r="C259" s="11"/>
      <c r="D259" s="11"/>
      <c r="E259" s="11"/>
      <c r="F259" s="11"/>
      <c r="G259" s="11"/>
      <c r="H259" s="11"/>
      <c r="I259" s="11"/>
      <c r="J259" s="249"/>
      <c r="K259" s="72"/>
      <c r="L259" s="73"/>
      <c r="M259" s="73"/>
      <c r="N259" s="74"/>
      <c r="O259" s="75"/>
      <c r="P259" s="73"/>
      <c r="Q259" s="76"/>
      <c r="R259" s="76"/>
      <c r="S259" s="76"/>
      <c r="T259" s="76"/>
      <c r="U259" s="76"/>
      <c r="V259" s="76"/>
      <c r="W259" s="76"/>
      <c r="X259" s="76"/>
      <c r="Y259" s="76"/>
      <c r="Z259" s="77"/>
      <c r="AA259" s="77"/>
      <c r="AB259" s="77"/>
      <c r="AC259" s="77"/>
      <c r="AD259" s="77"/>
      <c r="AE259" s="77"/>
      <c r="AF259" s="77"/>
      <c r="AG259" s="77"/>
      <c r="AH259" s="78"/>
      <c r="AI259" s="78"/>
      <c r="AJ259" s="78"/>
      <c r="AK259" s="78"/>
      <c r="AL259" s="78"/>
      <c r="AM259" s="78"/>
      <c r="AN259" s="76"/>
      <c r="AO259" s="76"/>
      <c r="AP259" s="76"/>
      <c r="AQ259" s="76"/>
      <c r="AR259" s="76"/>
      <c r="AS259" s="76"/>
      <c r="AT259" s="76"/>
      <c r="AU259" s="76"/>
      <c r="AV259" s="76"/>
      <c r="AW259" s="79"/>
      <c r="AX259" s="79"/>
      <c r="AY259" s="79"/>
      <c r="AZ259" s="79"/>
      <c r="BA259" s="79"/>
      <c r="BB259" s="11"/>
      <c r="BC259" s="11"/>
      <c r="BD259" s="11"/>
      <c r="BE259" s="73"/>
      <c r="BF259" s="73"/>
      <c r="BG259" s="73"/>
      <c r="BH259" s="77"/>
      <c r="BI259" s="77"/>
      <c r="BJ259" s="77"/>
      <c r="BK259" s="77"/>
      <c r="BL259" s="77"/>
      <c r="BM259" s="77"/>
      <c r="BN259" s="158"/>
      <c r="BO259" s="158"/>
    </row>
    <row r="260" spans="1:67" ht="15" x14ac:dyDescent="0.25">
      <c r="A260" s="71"/>
      <c r="B260" s="11"/>
      <c r="C260" s="11"/>
      <c r="D260" s="11"/>
      <c r="E260" s="11"/>
      <c r="F260" s="11"/>
      <c r="G260" s="11"/>
      <c r="H260" s="11"/>
      <c r="I260" s="11"/>
      <c r="J260" s="249"/>
      <c r="K260" s="72"/>
      <c r="L260" s="73"/>
      <c r="M260" s="73"/>
      <c r="N260" s="74"/>
      <c r="O260" s="75"/>
      <c r="P260" s="73"/>
      <c r="Q260" s="76"/>
      <c r="R260" s="76"/>
      <c r="S260" s="76"/>
      <c r="T260" s="76"/>
      <c r="U260" s="76"/>
      <c r="V260" s="76"/>
      <c r="W260" s="76"/>
      <c r="X260" s="76"/>
      <c r="Y260" s="76"/>
      <c r="Z260" s="77"/>
      <c r="AA260" s="77"/>
      <c r="AB260" s="77"/>
      <c r="AC260" s="77"/>
      <c r="AD260" s="77"/>
      <c r="AE260" s="77"/>
      <c r="AF260" s="77"/>
      <c r="AG260" s="77"/>
      <c r="AH260" s="78"/>
      <c r="AI260" s="78"/>
      <c r="AJ260" s="78"/>
      <c r="AK260" s="78"/>
      <c r="AL260" s="78"/>
      <c r="AM260" s="78"/>
      <c r="AN260" s="76"/>
      <c r="AO260" s="76"/>
      <c r="AP260" s="76"/>
      <c r="AQ260" s="76"/>
      <c r="AR260" s="76"/>
      <c r="AS260" s="76"/>
      <c r="AT260" s="76"/>
      <c r="AU260" s="76"/>
      <c r="AV260" s="76"/>
      <c r="AW260" s="79"/>
      <c r="AX260" s="79"/>
      <c r="AY260" s="79"/>
      <c r="AZ260" s="79"/>
      <c r="BA260" s="79"/>
      <c r="BB260" s="11"/>
      <c r="BC260" s="11"/>
      <c r="BD260" s="11"/>
      <c r="BE260" s="73"/>
      <c r="BF260" s="73"/>
      <c r="BG260" s="73"/>
      <c r="BH260" s="77"/>
      <c r="BI260" s="77"/>
      <c r="BJ260" s="77"/>
      <c r="BK260" s="77"/>
      <c r="BL260" s="77"/>
      <c r="BM260" s="77"/>
      <c r="BN260" s="158"/>
      <c r="BO260" s="158"/>
    </row>
    <row r="261" spans="1:67" ht="15" x14ac:dyDescent="0.25">
      <c r="A261" s="71"/>
      <c r="B261" s="11"/>
      <c r="C261" s="11"/>
      <c r="D261" s="11"/>
      <c r="E261" s="11"/>
      <c r="F261" s="11"/>
      <c r="G261" s="11"/>
      <c r="H261" s="11"/>
      <c r="I261" s="11"/>
      <c r="J261" s="249"/>
      <c r="K261" s="72"/>
      <c r="L261" s="73"/>
      <c r="M261" s="73"/>
      <c r="N261" s="74"/>
      <c r="O261" s="75"/>
      <c r="P261" s="73"/>
      <c r="Q261" s="76"/>
      <c r="R261" s="76"/>
      <c r="S261" s="76"/>
      <c r="T261" s="76"/>
      <c r="U261" s="76"/>
      <c r="V261" s="76"/>
      <c r="W261" s="76"/>
      <c r="X261" s="76"/>
      <c r="Y261" s="76"/>
      <c r="Z261" s="77"/>
      <c r="AA261" s="77"/>
      <c r="AB261" s="77"/>
      <c r="AC261" s="77"/>
      <c r="AD261" s="77"/>
      <c r="AE261" s="77"/>
      <c r="AF261" s="77"/>
      <c r="AG261" s="77"/>
      <c r="AH261" s="78"/>
      <c r="AI261" s="78"/>
      <c r="AJ261" s="78"/>
      <c r="AK261" s="78"/>
      <c r="AL261" s="78"/>
      <c r="AM261" s="78"/>
      <c r="AN261" s="76"/>
      <c r="AO261" s="76"/>
      <c r="AP261" s="76"/>
      <c r="AQ261" s="76"/>
      <c r="AR261" s="76"/>
      <c r="AS261" s="76"/>
      <c r="AT261" s="76"/>
      <c r="AU261" s="76"/>
      <c r="AV261" s="76"/>
      <c r="AW261" s="79"/>
      <c r="AX261" s="79"/>
      <c r="AY261" s="79"/>
      <c r="AZ261" s="79"/>
      <c r="BA261" s="79"/>
      <c r="BB261" s="11"/>
      <c r="BC261" s="11"/>
      <c r="BD261" s="11"/>
      <c r="BE261" s="73"/>
      <c r="BF261" s="73"/>
      <c r="BG261" s="73"/>
      <c r="BH261" s="77"/>
      <c r="BI261" s="77"/>
      <c r="BJ261" s="77"/>
      <c r="BK261" s="77"/>
      <c r="BL261" s="77"/>
      <c r="BM261" s="77"/>
      <c r="BN261" s="158"/>
      <c r="BO261" s="158"/>
    </row>
    <row r="262" spans="1:67" ht="15" x14ac:dyDescent="0.25">
      <c r="A262" s="71"/>
      <c r="B262" s="11"/>
      <c r="C262" s="11"/>
      <c r="D262" s="11"/>
      <c r="E262" s="11"/>
      <c r="F262" s="11"/>
      <c r="G262" s="11"/>
      <c r="H262" s="11"/>
      <c r="I262" s="11"/>
      <c r="J262" s="249"/>
      <c r="K262" s="72"/>
      <c r="L262" s="73"/>
      <c r="M262" s="73"/>
      <c r="N262" s="74"/>
      <c r="O262" s="75"/>
      <c r="P262" s="73"/>
      <c r="Q262" s="76"/>
      <c r="R262" s="76"/>
      <c r="S262" s="76"/>
      <c r="T262" s="76"/>
      <c r="U262" s="76"/>
      <c r="V262" s="76"/>
      <c r="W262" s="76"/>
      <c r="X262" s="76"/>
      <c r="Y262" s="76"/>
      <c r="Z262" s="77"/>
      <c r="AA262" s="77"/>
      <c r="AB262" s="77"/>
      <c r="AC262" s="77"/>
      <c r="AD262" s="77"/>
      <c r="AE262" s="77"/>
      <c r="AF262" s="77"/>
      <c r="AG262" s="77"/>
      <c r="AH262" s="78"/>
      <c r="AI262" s="78"/>
      <c r="AJ262" s="78"/>
      <c r="AK262" s="78"/>
      <c r="AL262" s="78"/>
      <c r="AM262" s="78"/>
      <c r="AN262" s="76"/>
      <c r="AO262" s="76"/>
      <c r="AP262" s="76"/>
      <c r="AQ262" s="76"/>
      <c r="AR262" s="76"/>
      <c r="AS262" s="76"/>
      <c r="AT262" s="76"/>
      <c r="AU262" s="76"/>
      <c r="AV262" s="76"/>
      <c r="AW262" s="79"/>
      <c r="AX262" s="79"/>
      <c r="AY262" s="79"/>
      <c r="AZ262" s="79"/>
      <c r="BA262" s="79"/>
      <c r="BB262" s="11"/>
      <c r="BC262" s="11"/>
      <c r="BD262" s="11"/>
      <c r="BE262" s="73"/>
      <c r="BF262" s="73"/>
      <c r="BG262" s="73"/>
      <c r="BH262" s="77"/>
      <c r="BI262" s="77"/>
      <c r="BJ262" s="77"/>
      <c r="BK262" s="77"/>
      <c r="BL262" s="77"/>
      <c r="BM262" s="77"/>
      <c r="BN262" s="158"/>
      <c r="BO262" s="158"/>
    </row>
    <row r="263" spans="1:67" ht="15" x14ac:dyDescent="0.25">
      <c r="A263" s="71"/>
      <c r="B263" s="11"/>
      <c r="C263" s="11"/>
      <c r="D263" s="11"/>
      <c r="E263" s="11"/>
      <c r="F263" s="11"/>
      <c r="G263" s="11"/>
      <c r="H263" s="11"/>
      <c r="I263" s="11"/>
      <c r="J263" s="249"/>
      <c r="K263" s="72"/>
      <c r="L263" s="73"/>
      <c r="M263" s="73"/>
      <c r="N263" s="74"/>
      <c r="O263" s="75"/>
      <c r="P263" s="73"/>
      <c r="Q263" s="76"/>
      <c r="R263" s="76"/>
      <c r="S263" s="76"/>
      <c r="T263" s="76"/>
      <c r="U263" s="76"/>
      <c r="V263" s="76"/>
      <c r="W263" s="76"/>
      <c r="X263" s="76"/>
      <c r="Y263" s="76"/>
      <c r="Z263" s="77"/>
      <c r="AA263" s="77"/>
      <c r="AB263" s="77"/>
      <c r="AC263" s="77"/>
      <c r="AD263" s="77"/>
      <c r="AE263" s="77"/>
      <c r="AF263" s="77"/>
      <c r="AG263" s="77"/>
      <c r="AH263" s="78"/>
      <c r="AI263" s="78"/>
      <c r="AJ263" s="78"/>
      <c r="AK263" s="78"/>
      <c r="AL263" s="78"/>
      <c r="AM263" s="78"/>
      <c r="AN263" s="76"/>
      <c r="AO263" s="76"/>
      <c r="AP263" s="76"/>
      <c r="AQ263" s="76"/>
      <c r="AR263" s="76"/>
      <c r="AS263" s="76"/>
      <c r="AT263" s="76"/>
      <c r="AU263" s="76"/>
      <c r="AV263" s="76"/>
      <c r="AW263" s="79"/>
      <c r="AX263" s="79"/>
      <c r="AY263" s="79"/>
      <c r="AZ263" s="79"/>
      <c r="BA263" s="79"/>
      <c r="BB263" s="11"/>
      <c r="BC263" s="11"/>
      <c r="BD263" s="11"/>
      <c r="BE263" s="73"/>
      <c r="BF263" s="73"/>
      <c r="BG263" s="73"/>
      <c r="BH263" s="77"/>
      <c r="BI263" s="77"/>
      <c r="BJ263" s="77"/>
      <c r="BK263" s="77"/>
      <c r="BL263" s="77"/>
      <c r="BM263" s="77"/>
      <c r="BN263" s="158"/>
      <c r="BO263" s="158"/>
    </row>
    <row r="264" spans="1:67" ht="15" x14ac:dyDescent="0.25">
      <c r="A264" s="71"/>
      <c r="B264" s="11"/>
      <c r="C264" s="11"/>
      <c r="D264" s="11"/>
      <c r="E264" s="11"/>
      <c r="F264" s="11"/>
      <c r="G264" s="11"/>
      <c r="H264" s="11"/>
      <c r="I264" s="11"/>
      <c r="J264" s="249"/>
      <c r="K264" s="72"/>
      <c r="L264" s="73"/>
      <c r="M264" s="73"/>
      <c r="N264" s="74"/>
      <c r="O264" s="75"/>
      <c r="P264" s="73"/>
      <c r="Q264" s="76"/>
      <c r="R264" s="76"/>
      <c r="S264" s="76"/>
      <c r="T264" s="76"/>
      <c r="U264" s="76"/>
      <c r="V264" s="76"/>
      <c r="W264" s="76"/>
      <c r="X264" s="76"/>
      <c r="Y264" s="76"/>
      <c r="Z264" s="77"/>
      <c r="AA264" s="77"/>
      <c r="AB264" s="77"/>
      <c r="AC264" s="77"/>
      <c r="AD264" s="77"/>
      <c r="AE264" s="77"/>
      <c r="AF264" s="77"/>
      <c r="AG264" s="77"/>
      <c r="AH264" s="78"/>
      <c r="AI264" s="78"/>
      <c r="AJ264" s="78"/>
      <c r="AK264" s="78"/>
      <c r="AL264" s="78"/>
      <c r="AM264" s="78"/>
      <c r="AN264" s="76"/>
      <c r="AO264" s="76"/>
      <c r="AP264" s="76"/>
      <c r="AQ264" s="76"/>
      <c r="AR264" s="76"/>
      <c r="AS264" s="76"/>
      <c r="AT264" s="76"/>
      <c r="AU264" s="76"/>
      <c r="AV264" s="76"/>
      <c r="AW264" s="79"/>
      <c r="AX264" s="79"/>
      <c r="AY264" s="79"/>
      <c r="AZ264" s="79"/>
      <c r="BA264" s="79"/>
      <c r="BB264" s="11"/>
      <c r="BC264" s="11"/>
      <c r="BD264" s="11"/>
      <c r="BE264" s="73"/>
      <c r="BF264" s="73"/>
      <c r="BG264" s="73"/>
      <c r="BH264" s="77"/>
      <c r="BI264" s="77"/>
      <c r="BJ264" s="77"/>
      <c r="BK264" s="77"/>
      <c r="BL264" s="77"/>
      <c r="BM264" s="77"/>
      <c r="BN264" s="158"/>
      <c r="BO264" s="158"/>
    </row>
    <row r="265" spans="1:67" ht="15" x14ac:dyDescent="0.25">
      <c r="A265" s="71"/>
      <c r="B265" s="11"/>
      <c r="C265" s="11"/>
      <c r="D265" s="11"/>
      <c r="E265" s="11"/>
      <c r="F265" s="11"/>
      <c r="G265" s="11"/>
      <c r="H265" s="11"/>
      <c r="I265" s="11"/>
      <c r="J265" s="249"/>
      <c r="K265" s="72"/>
      <c r="L265" s="73"/>
      <c r="M265" s="73"/>
      <c r="N265" s="74"/>
      <c r="O265" s="75"/>
      <c r="P265" s="73"/>
      <c r="Q265" s="76"/>
      <c r="R265" s="76"/>
      <c r="S265" s="76"/>
      <c r="T265" s="76"/>
      <c r="U265" s="76"/>
      <c r="V265" s="76"/>
      <c r="W265" s="76"/>
      <c r="X265" s="76"/>
      <c r="Y265" s="76"/>
      <c r="Z265" s="77"/>
      <c r="AA265" s="77"/>
      <c r="AB265" s="77"/>
      <c r="AC265" s="77"/>
      <c r="AD265" s="77"/>
      <c r="AE265" s="77"/>
      <c r="AF265" s="77"/>
      <c r="AG265" s="77"/>
      <c r="AH265" s="78"/>
      <c r="AI265" s="78"/>
      <c r="AJ265" s="78"/>
      <c r="AK265" s="78"/>
      <c r="AL265" s="78"/>
      <c r="AM265" s="78"/>
      <c r="AN265" s="76"/>
      <c r="AO265" s="76"/>
      <c r="AP265" s="76"/>
      <c r="AQ265" s="76"/>
      <c r="AR265" s="76"/>
      <c r="AS265" s="76"/>
      <c r="AT265" s="76"/>
      <c r="AU265" s="76"/>
      <c r="AV265" s="76"/>
      <c r="AW265" s="79"/>
      <c r="AX265" s="79"/>
      <c r="AY265" s="79"/>
      <c r="AZ265" s="79"/>
      <c r="BA265" s="79"/>
      <c r="BB265" s="11"/>
      <c r="BC265" s="11"/>
      <c r="BD265" s="11"/>
      <c r="BE265" s="73"/>
      <c r="BF265" s="73"/>
      <c r="BG265" s="73"/>
      <c r="BH265" s="77"/>
      <c r="BI265" s="77"/>
      <c r="BJ265" s="77"/>
      <c r="BK265" s="77"/>
      <c r="BL265" s="77"/>
      <c r="BM265" s="77"/>
      <c r="BN265" s="158"/>
      <c r="BO265" s="158"/>
    </row>
    <row r="266" spans="1:67" ht="15" x14ac:dyDescent="0.25">
      <c r="A266" s="71"/>
      <c r="B266" s="11"/>
      <c r="C266" s="11"/>
      <c r="D266" s="11"/>
      <c r="E266" s="11"/>
      <c r="F266" s="11"/>
      <c r="G266" s="11"/>
      <c r="H266" s="11"/>
      <c r="I266" s="11"/>
      <c r="J266" s="249"/>
      <c r="K266" s="72"/>
      <c r="L266" s="73"/>
      <c r="M266" s="73"/>
      <c r="N266" s="74"/>
      <c r="O266" s="75"/>
      <c r="P266" s="73"/>
      <c r="Q266" s="76"/>
      <c r="R266" s="76"/>
      <c r="S266" s="76"/>
      <c r="T266" s="76"/>
      <c r="U266" s="76"/>
      <c r="V266" s="76"/>
      <c r="W266" s="76"/>
      <c r="X266" s="76"/>
      <c r="Y266" s="76"/>
      <c r="Z266" s="77"/>
      <c r="AA266" s="77"/>
      <c r="AB266" s="77"/>
      <c r="AC266" s="77"/>
      <c r="AD266" s="77"/>
      <c r="AE266" s="77"/>
      <c r="AF266" s="77"/>
      <c r="AG266" s="77"/>
      <c r="AH266" s="78"/>
      <c r="AI266" s="78"/>
      <c r="AJ266" s="78"/>
      <c r="AK266" s="78"/>
      <c r="AL266" s="78"/>
      <c r="AM266" s="78"/>
      <c r="AN266" s="76"/>
      <c r="AO266" s="76"/>
      <c r="AP266" s="76"/>
      <c r="AQ266" s="76"/>
      <c r="AR266" s="76"/>
      <c r="AS266" s="76"/>
      <c r="AT266" s="76"/>
      <c r="AU266" s="76"/>
      <c r="AV266" s="76"/>
      <c r="AW266" s="79"/>
      <c r="AX266" s="79"/>
      <c r="AY266" s="79"/>
      <c r="AZ266" s="79"/>
      <c r="BA266" s="79"/>
      <c r="BB266" s="11"/>
      <c r="BC266" s="11"/>
      <c r="BD266" s="11"/>
      <c r="BE266" s="73"/>
      <c r="BF266" s="73"/>
      <c r="BG266" s="73"/>
      <c r="BH266" s="77"/>
      <c r="BI266" s="77"/>
      <c r="BJ266" s="77"/>
      <c r="BK266" s="77"/>
      <c r="BL266" s="77"/>
      <c r="BM266" s="77"/>
      <c r="BN266" s="158"/>
      <c r="BO266" s="158"/>
    </row>
    <row r="267" spans="1:67" ht="15" x14ac:dyDescent="0.25">
      <c r="A267" s="71"/>
      <c r="B267" s="11"/>
      <c r="C267" s="11"/>
      <c r="D267" s="11"/>
      <c r="E267" s="11"/>
      <c r="F267" s="11"/>
      <c r="G267" s="11"/>
      <c r="H267" s="11"/>
      <c r="I267" s="11"/>
      <c r="J267" s="249"/>
      <c r="K267" s="72"/>
      <c r="L267" s="73"/>
      <c r="M267" s="73"/>
      <c r="N267" s="74"/>
      <c r="O267" s="75"/>
      <c r="P267" s="73"/>
      <c r="Q267" s="76"/>
      <c r="R267" s="76"/>
      <c r="S267" s="76"/>
      <c r="T267" s="76"/>
      <c r="U267" s="76"/>
      <c r="V267" s="76"/>
      <c r="W267" s="76"/>
      <c r="X267" s="76"/>
      <c r="Y267" s="76"/>
      <c r="Z267" s="77"/>
      <c r="AA267" s="77"/>
      <c r="AB267" s="77"/>
      <c r="AC267" s="77"/>
      <c r="AD267" s="77"/>
      <c r="AE267" s="77"/>
      <c r="AF267" s="77"/>
      <c r="AG267" s="77"/>
      <c r="AH267" s="78"/>
      <c r="AI267" s="78"/>
      <c r="AJ267" s="78"/>
      <c r="AK267" s="78"/>
      <c r="AL267" s="78"/>
      <c r="AM267" s="78"/>
      <c r="AN267" s="76"/>
      <c r="AO267" s="76"/>
      <c r="AP267" s="76"/>
      <c r="AQ267" s="76"/>
      <c r="AR267" s="76"/>
      <c r="AS267" s="76"/>
      <c r="AT267" s="76"/>
      <c r="AU267" s="76"/>
      <c r="AV267" s="76"/>
      <c r="AW267" s="79"/>
      <c r="AX267" s="79"/>
      <c r="AY267" s="79"/>
      <c r="AZ267" s="79"/>
      <c r="BA267" s="79"/>
      <c r="BB267" s="11"/>
      <c r="BC267" s="11"/>
      <c r="BD267" s="11"/>
      <c r="BE267" s="73"/>
      <c r="BF267" s="73"/>
      <c r="BG267" s="73"/>
      <c r="BH267" s="77"/>
      <c r="BI267" s="77"/>
      <c r="BJ267" s="77"/>
      <c r="BK267" s="77"/>
      <c r="BL267" s="77"/>
      <c r="BM267" s="77"/>
      <c r="BN267" s="158"/>
      <c r="BO267" s="158"/>
    </row>
    <row r="268" spans="1:67" ht="15" x14ac:dyDescent="0.25">
      <c r="A268" s="71"/>
      <c r="B268" s="11"/>
      <c r="C268" s="11"/>
      <c r="D268" s="11"/>
      <c r="E268" s="11"/>
      <c r="F268" s="11"/>
      <c r="G268" s="11"/>
      <c r="H268" s="11"/>
      <c r="I268" s="11"/>
      <c r="J268" s="249"/>
      <c r="K268" s="72"/>
      <c r="L268" s="73"/>
      <c r="M268" s="73"/>
      <c r="N268" s="74"/>
      <c r="O268" s="75"/>
      <c r="P268" s="73"/>
      <c r="Q268" s="76"/>
      <c r="R268" s="76"/>
      <c r="S268" s="76"/>
      <c r="T268" s="76"/>
      <c r="U268" s="76"/>
      <c r="V268" s="76"/>
      <c r="W268" s="76"/>
      <c r="X268" s="76"/>
      <c r="Y268" s="76"/>
      <c r="Z268" s="77"/>
      <c r="AA268" s="77"/>
      <c r="AB268" s="77"/>
      <c r="AC268" s="77"/>
      <c r="AD268" s="77"/>
      <c r="AE268" s="77"/>
      <c r="AF268" s="77"/>
      <c r="AG268" s="77"/>
      <c r="AH268" s="78"/>
      <c r="AI268" s="78"/>
      <c r="AJ268" s="78"/>
      <c r="AK268" s="78"/>
      <c r="AL268" s="78"/>
      <c r="AM268" s="78"/>
      <c r="AN268" s="76"/>
      <c r="AO268" s="76"/>
      <c r="AP268" s="76"/>
      <c r="AQ268" s="76"/>
      <c r="AR268" s="76"/>
      <c r="AS268" s="76"/>
      <c r="AT268" s="76"/>
      <c r="AU268" s="76"/>
      <c r="AV268" s="76"/>
      <c r="AW268" s="79"/>
      <c r="AX268" s="79"/>
      <c r="AY268" s="79"/>
      <c r="AZ268" s="79"/>
      <c r="BA268" s="79"/>
      <c r="BB268" s="11"/>
      <c r="BC268" s="11"/>
      <c r="BD268" s="11"/>
      <c r="BE268" s="73"/>
      <c r="BF268" s="73"/>
      <c r="BG268" s="73"/>
      <c r="BH268" s="77"/>
      <c r="BI268" s="77"/>
      <c r="BJ268" s="77"/>
      <c r="BK268" s="77"/>
      <c r="BL268" s="77"/>
      <c r="BM268" s="77"/>
      <c r="BN268" s="158"/>
      <c r="BO268" s="158"/>
    </row>
    <row r="269" spans="1:67" ht="15" x14ac:dyDescent="0.25">
      <c r="A269" s="71"/>
      <c r="B269" s="11"/>
      <c r="C269" s="11"/>
      <c r="D269" s="11"/>
      <c r="E269" s="11"/>
      <c r="F269" s="11"/>
      <c r="G269" s="11"/>
      <c r="H269" s="11"/>
      <c r="I269" s="11"/>
      <c r="J269" s="249"/>
      <c r="K269" s="72"/>
      <c r="L269" s="73"/>
      <c r="M269" s="73"/>
      <c r="N269" s="74"/>
      <c r="O269" s="75"/>
      <c r="P269" s="73"/>
      <c r="Q269" s="76"/>
      <c r="R269" s="76"/>
      <c r="S269" s="76"/>
      <c r="T269" s="76"/>
      <c r="U269" s="76"/>
      <c r="V269" s="76"/>
      <c r="W269" s="76"/>
      <c r="X269" s="76"/>
      <c r="Y269" s="76"/>
      <c r="Z269" s="77"/>
      <c r="AA269" s="77"/>
      <c r="AB269" s="77"/>
      <c r="AC269" s="77"/>
      <c r="AD269" s="77"/>
      <c r="AE269" s="77"/>
      <c r="AF269" s="77"/>
      <c r="AG269" s="77"/>
      <c r="AH269" s="78"/>
      <c r="AI269" s="78"/>
      <c r="AJ269" s="78"/>
      <c r="AK269" s="78"/>
      <c r="AL269" s="78"/>
      <c r="AM269" s="78"/>
      <c r="AN269" s="76"/>
      <c r="AO269" s="76"/>
      <c r="AP269" s="76"/>
      <c r="AQ269" s="76"/>
      <c r="AR269" s="76"/>
      <c r="AS269" s="76"/>
      <c r="AT269" s="76"/>
      <c r="AU269" s="76"/>
      <c r="AV269" s="76"/>
      <c r="AW269" s="79"/>
      <c r="AX269" s="79"/>
      <c r="AY269" s="79"/>
      <c r="AZ269" s="79"/>
      <c r="BA269" s="79"/>
      <c r="BB269" s="11"/>
      <c r="BC269" s="11"/>
      <c r="BD269" s="11"/>
      <c r="BE269" s="73"/>
      <c r="BF269" s="73"/>
      <c r="BG269" s="73"/>
      <c r="BH269" s="77"/>
      <c r="BI269" s="77"/>
      <c r="BJ269" s="77"/>
      <c r="BK269" s="77"/>
      <c r="BL269" s="77"/>
      <c r="BM269" s="77"/>
      <c r="BN269" s="158"/>
      <c r="BO269" s="158"/>
    </row>
    <row r="270" spans="1:67" ht="15" x14ac:dyDescent="0.25">
      <c r="A270" s="71"/>
      <c r="B270" s="11"/>
      <c r="C270" s="11"/>
      <c r="D270" s="11"/>
      <c r="E270" s="11"/>
      <c r="F270" s="11"/>
      <c r="G270" s="11"/>
      <c r="H270" s="11"/>
      <c r="I270" s="11"/>
      <c r="J270" s="249"/>
      <c r="K270" s="72"/>
      <c r="L270" s="73"/>
      <c r="M270" s="73"/>
      <c r="N270" s="74"/>
      <c r="O270" s="75"/>
      <c r="P270" s="73"/>
      <c r="Q270" s="76"/>
      <c r="R270" s="76"/>
      <c r="S270" s="76"/>
      <c r="T270" s="76"/>
      <c r="U270" s="76"/>
      <c r="V270" s="76"/>
      <c r="W270" s="76"/>
      <c r="X270" s="76"/>
      <c r="Y270" s="76"/>
      <c r="Z270" s="77"/>
      <c r="AA270" s="77"/>
      <c r="AB270" s="77"/>
      <c r="AC270" s="77"/>
      <c r="AD270" s="77"/>
      <c r="AE270" s="77"/>
      <c r="AF270" s="77"/>
      <c r="AG270" s="77"/>
      <c r="AH270" s="78"/>
      <c r="AI270" s="78"/>
      <c r="AJ270" s="78"/>
      <c r="AK270" s="78"/>
      <c r="AL270" s="78"/>
      <c r="AM270" s="78"/>
      <c r="AN270" s="76"/>
      <c r="AO270" s="76"/>
      <c r="AP270" s="76"/>
      <c r="AQ270" s="76"/>
      <c r="AR270" s="76"/>
      <c r="AS270" s="76"/>
      <c r="AT270" s="76"/>
      <c r="AU270" s="76"/>
      <c r="AV270" s="76"/>
      <c r="AW270" s="79"/>
      <c r="AX270" s="79"/>
      <c r="AY270" s="79"/>
      <c r="AZ270" s="79"/>
      <c r="BA270" s="79"/>
      <c r="BB270" s="11"/>
      <c r="BC270" s="11"/>
      <c r="BD270" s="11"/>
      <c r="BE270" s="73"/>
      <c r="BF270" s="73"/>
      <c r="BG270" s="73"/>
      <c r="BH270" s="77"/>
      <c r="BI270" s="77"/>
      <c r="BJ270" s="77"/>
      <c r="BK270" s="77"/>
      <c r="BL270" s="77"/>
      <c r="BM270" s="77"/>
      <c r="BN270" s="158"/>
      <c r="BO270" s="158"/>
    </row>
    <row r="271" spans="1:67" ht="15" x14ac:dyDescent="0.25">
      <c r="A271" s="71"/>
      <c r="B271" s="11"/>
      <c r="C271" s="11"/>
      <c r="D271" s="11"/>
      <c r="E271" s="11"/>
      <c r="F271" s="11"/>
      <c r="G271" s="11"/>
      <c r="H271" s="11"/>
      <c r="I271" s="11"/>
      <c r="J271" s="249"/>
      <c r="K271" s="72"/>
      <c r="L271" s="73"/>
      <c r="M271" s="73"/>
      <c r="N271" s="74"/>
      <c r="O271" s="75"/>
      <c r="P271" s="73"/>
      <c r="Q271" s="76"/>
      <c r="R271" s="76"/>
      <c r="S271" s="76"/>
      <c r="T271" s="76"/>
      <c r="U271" s="76"/>
      <c r="V271" s="76"/>
      <c r="W271" s="76"/>
      <c r="X271" s="76"/>
      <c r="Y271" s="76"/>
      <c r="Z271" s="77"/>
      <c r="AA271" s="77"/>
      <c r="AB271" s="77"/>
      <c r="AC271" s="77"/>
      <c r="AD271" s="77"/>
      <c r="AE271" s="77"/>
      <c r="AF271" s="77"/>
      <c r="AG271" s="77"/>
      <c r="AH271" s="78"/>
      <c r="AI271" s="78"/>
      <c r="AJ271" s="78"/>
      <c r="AK271" s="78"/>
      <c r="AL271" s="78"/>
      <c r="AM271" s="78"/>
      <c r="AN271" s="76"/>
      <c r="AO271" s="76"/>
      <c r="AP271" s="76"/>
      <c r="AQ271" s="76"/>
      <c r="AR271" s="76"/>
      <c r="AS271" s="76"/>
      <c r="AT271" s="76"/>
      <c r="AU271" s="76"/>
      <c r="AV271" s="76"/>
      <c r="AW271" s="79"/>
      <c r="AX271" s="79"/>
      <c r="AY271" s="79"/>
      <c r="AZ271" s="79"/>
      <c r="BA271" s="79"/>
      <c r="BB271" s="11"/>
      <c r="BC271" s="11"/>
      <c r="BD271" s="11"/>
      <c r="BE271" s="73"/>
      <c r="BF271" s="73"/>
      <c r="BG271" s="73"/>
      <c r="BH271" s="77"/>
      <c r="BI271" s="77"/>
      <c r="BJ271" s="77"/>
      <c r="BK271" s="77"/>
      <c r="BL271" s="77"/>
      <c r="BM271" s="77"/>
      <c r="BN271" s="158"/>
      <c r="BO271" s="158"/>
    </row>
    <row r="272" spans="1:67" ht="15" x14ac:dyDescent="0.25">
      <c r="A272" s="71"/>
      <c r="B272" s="11"/>
      <c r="C272" s="11"/>
      <c r="D272" s="11"/>
      <c r="E272" s="11"/>
      <c r="F272" s="11"/>
      <c r="G272" s="11"/>
      <c r="H272" s="11"/>
      <c r="I272" s="11"/>
      <c r="J272" s="249"/>
      <c r="K272" s="72"/>
      <c r="L272" s="73"/>
      <c r="M272" s="73"/>
      <c r="N272" s="74"/>
      <c r="O272" s="75"/>
      <c r="P272" s="73"/>
      <c r="Q272" s="76"/>
      <c r="R272" s="76"/>
      <c r="S272" s="76"/>
      <c r="T272" s="76"/>
      <c r="U272" s="76"/>
      <c r="V272" s="76"/>
      <c r="W272" s="76"/>
      <c r="X272" s="76"/>
      <c r="Y272" s="76"/>
      <c r="Z272" s="77"/>
      <c r="AA272" s="77"/>
      <c r="AB272" s="77"/>
      <c r="AC272" s="77"/>
      <c r="AD272" s="77"/>
      <c r="AE272" s="77"/>
      <c r="AF272" s="77"/>
      <c r="AG272" s="77"/>
      <c r="AH272" s="78"/>
      <c r="AI272" s="78"/>
      <c r="AJ272" s="78"/>
      <c r="AK272" s="78"/>
      <c r="AL272" s="78"/>
      <c r="AM272" s="78"/>
      <c r="AN272" s="76"/>
      <c r="AO272" s="76"/>
      <c r="AP272" s="76"/>
      <c r="AQ272" s="76"/>
      <c r="AR272" s="76"/>
      <c r="AS272" s="76"/>
      <c r="AT272" s="76"/>
      <c r="AU272" s="76"/>
      <c r="AV272" s="76"/>
      <c r="AW272" s="79"/>
      <c r="AX272" s="79"/>
      <c r="AY272" s="79"/>
      <c r="AZ272" s="79"/>
      <c r="BA272" s="79"/>
      <c r="BB272" s="11"/>
      <c r="BC272" s="11"/>
      <c r="BD272" s="11"/>
      <c r="BE272" s="73"/>
      <c r="BF272" s="73"/>
      <c r="BG272" s="73"/>
      <c r="BH272" s="77"/>
      <c r="BI272" s="77"/>
      <c r="BJ272" s="77"/>
      <c r="BK272" s="77"/>
      <c r="BL272" s="77"/>
      <c r="BM272" s="77"/>
      <c r="BN272" s="158"/>
      <c r="BO272" s="158"/>
    </row>
    <row r="273" spans="1:67" ht="15" x14ac:dyDescent="0.25">
      <c r="A273" s="71"/>
      <c r="B273" s="11"/>
      <c r="C273" s="11"/>
      <c r="D273" s="11"/>
      <c r="E273" s="11"/>
      <c r="F273" s="11"/>
      <c r="G273" s="11"/>
      <c r="H273" s="11"/>
      <c r="I273" s="11"/>
      <c r="J273" s="249"/>
      <c r="K273" s="72"/>
      <c r="L273" s="73"/>
      <c r="M273" s="73"/>
      <c r="N273" s="74"/>
      <c r="O273" s="75"/>
      <c r="P273" s="73"/>
      <c r="Q273" s="76"/>
      <c r="R273" s="76"/>
      <c r="S273" s="76"/>
      <c r="T273" s="76"/>
      <c r="U273" s="76"/>
      <c r="V273" s="76"/>
      <c r="W273" s="76"/>
      <c r="X273" s="76"/>
      <c r="Y273" s="76"/>
      <c r="Z273" s="77"/>
      <c r="AA273" s="77"/>
      <c r="AB273" s="77"/>
      <c r="AC273" s="77"/>
      <c r="AD273" s="77"/>
      <c r="AE273" s="77"/>
      <c r="AF273" s="77"/>
      <c r="AG273" s="77"/>
      <c r="AH273" s="78"/>
      <c r="AI273" s="78"/>
      <c r="AJ273" s="78"/>
      <c r="AK273" s="78"/>
      <c r="AL273" s="78"/>
      <c r="AM273" s="78"/>
      <c r="AN273" s="76"/>
      <c r="AO273" s="76"/>
      <c r="AP273" s="76"/>
      <c r="AQ273" s="76"/>
      <c r="AR273" s="76"/>
      <c r="AS273" s="76"/>
      <c r="AT273" s="76"/>
      <c r="AU273" s="76"/>
      <c r="AV273" s="76"/>
      <c r="AW273" s="79"/>
      <c r="AX273" s="79"/>
      <c r="AY273" s="79"/>
      <c r="AZ273" s="79"/>
      <c r="BA273" s="79"/>
      <c r="BB273" s="11"/>
      <c r="BC273" s="11"/>
      <c r="BD273" s="11"/>
      <c r="BE273" s="73"/>
      <c r="BF273" s="73"/>
      <c r="BG273" s="73"/>
      <c r="BH273" s="77"/>
      <c r="BI273" s="77"/>
      <c r="BJ273" s="77"/>
      <c r="BK273" s="77"/>
      <c r="BL273" s="77"/>
      <c r="BM273" s="77"/>
      <c r="BN273" s="158"/>
      <c r="BO273" s="158"/>
    </row>
    <row r="274" spans="1:67" ht="15" x14ac:dyDescent="0.25">
      <c r="A274" s="71"/>
      <c r="B274" s="11"/>
      <c r="C274" s="11"/>
      <c r="D274" s="11"/>
      <c r="E274" s="11"/>
      <c r="F274" s="11"/>
      <c r="G274" s="11"/>
      <c r="H274" s="11"/>
      <c r="I274" s="11"/>
      <c r="J274" s="249"/>
      <c r="K274" s="72"/>
      <c r="L274" s="73"/>
      <c r="M274" s="73"/>
      <c r="N274" s="74"/>
      <c r="O274" s="75"/>
      <c r="P274" s="73"/>
      <c r="Q274" s="76"/>
      <c r="R274" s="76"/>
      <c r="S274" s="76"/>
      <c r="T274" s="76"/>
      <c r="U274" s="76"/>
      <c r="V274" s="76"/>
      <c r="W274" s="76"/>
      <c r="X274" s="76"/>
      <c r="Y274" s="76"/>
      <c r="Z274" s="77"/>
      <c r="AA274" s="77"/>
      <c r="AB274" s="77"/>
      <c r="AC274" s="77"/>
      <c r="AD274" s="77"/>
      <c r="AE274" s="77"/>
      <c r="AF274" s="77"/>
      <c r="AG274" s="77"/>
      <c r="AH274" s="78"/>
      <c r="AI274" s="78"/>
      <c r="AJ274" s="78"/>
      <c r="AK274" s="78"/>
      <c r="AL274" s="78"/>
      <c r="AM274" s="78"/>
      <c r="AN274" s="76"/>
      <c r="AO274" s="76"/>
      <c r="AP274" s="76"/>
      <c r="AQ274" s="76"/>
      <c r="AR274" s="76"/>
      <c r="AS274" s="76"/>
      <c r="AT274" s="76"/>
      <c r="AU274" s="76"/>
      <c r="AV274" s="76"/>
      <c r="AW274" s="79"/>
      <c r="AX274" s="79"/>
      <c r="AY274" s="79"/>
      <c r="AZ274" s="79"/>
      <c r="BA274" s="79"/>
      <c r="BB274" s="11"/>
      <c r="BC274" s="11"/>
      <c r="BD274" s="11"/>
      <c r="BE274" s="73"/>
      <c r="BF274" s="73"/>
      <c r="BG274" s="73"/>
      <c r="BH274" s="77"/>
      <c r="BI274" s="77"/>
      <c r="BJ274" s="77"/>
      <c r="BK274" s="77"/>
      <c r="BL274" s="77"/>
      <c r="BM274" s="77"/>
      <c r="BN274" s="158"/>
      <c r="BO274" s="158"/>
    </row>
    <row r="275" spans="1:67" ht="15" x14ac:dyDescent="0.25">
      <c r="A275" s="71"/>
      <c r="B275" s="11"/>
      <c r="C275" s="11"/>
      <c r="D275" s="11"/>
      <c r="E275" s="11"/>
      <c r="F275" s="11"/>
      <c r="G275" s="11"/>
      <c r="H275" s="11"/>
      <c r="I275" s="11"/>
      <c r="J275" s="249"/>
      <c r="K275" s="72"/>
      <c r="L275" s="73"/>
      <c r="M275" s="73"/>
      <c r="N275" s="74"/>
      <c r="O275" s="75"/>
      <c r="P275" s="73"/>
      <c r="Q275" s="76"/>
      <c r="R275" s="76"/>
      <c r="S275" s="76"/>
      <c r="T275" s="76"/>
      <c r="U275" s="76"/>
      <c r="V275" s="76"/>
      <c r="W275" s="76"/>
      <c r="X275" s="76"/>
      <c r="Y275" s="76"/>
      <c r="Z275" s="77"/>
      <c r="AA275" s="77"/>
      <c r="AB275" s="77"/>
      <c r="AC275" s="77"/>
      <c r="AD275" s="77"/>
      <c r="AE275" s="77"/>
      <c r="AF275" s="77"/>
      <c r="AG275" s="77"/>
      <c r="AH275" s="78"/>
      <c r="AI275" s="78"/>
      <c r="AJ275" s="78"/>
      <c r="AK275" s="78"/>
      <c r="AL275" s="78"/>
      <c r="AM275" s="78"/>
      <c r="AN275" s="76"/>
      <c r="AO275" s="76"/>
      <c r="AP275" s="76"/>
      <c r="AQ275" s="76"/>
      <c r="AR275" s="76"/>
      <c r="AS275" s="76"/>
      <c r="AT275" s="76"/>
      <c r="AU275" s="76"/>
      <c r="AV275" s="76"/>
      <c r="AW275" s="79"/>
      <c r="AX275" s="79"/>
      <c r="AY275" s="79"/>
      <c r="AZ275" s="79"/>
      <c r="BA275" s="79"/>
      <c r="BB275" s="11"/>
      <c r="BC275" s="11"/>
      <c r="BD275" s="11"/>
      <c r="BE275" s="73"/>
      <c r="BF275" s="73"/>
      <c r="BG275" s="73"/>
      <c r="BH275" s="77"/>
      <c r="BI275" s="77"/>
      <c r="BJ275" s="77"/>
      <c r="BK275" s="77"/>
      <c r="BL275" s="77"/>
      <c r="BM275" s="77"/>
      <c r="BN275" s="158"/>
      <c r="BO275" s="158"/>
    </row>
    <row r="276" spans="1:67" ht="15" x14ac:dyDescent="0.25">
      <c r="A276" s="71"/>
      <c r="B276" s="11"/>
      <c r="C276" s="11"/>
      <c r="D276" s="11"/>
      <c r="E276" s="11"/>
      <c r="F276" s="11"/>
      <c r="G276" s="11"/>
      <c r="H276" s="11"/>
      <c r="I276" s="11"/>
      <c r="J276" s="249"/>
      <c r="K276" s="72"/>
      <c r="L276" s="73"/>
      <c r="M276" s="73"/>
      <c r="N276" s="74"/>
      <c r="O276" s="75"/>
      <c r="P276" s="73"/>
      <c r="Q276" s="76"/>
      <c r="R276" s="76"/>
      <c r="S276" s="76"/>
      <c r="T276" s="76"/>
      <c r="U276" s="76"/>
      <c r="V276" s="76"/>
      <c r="W276" s="76"/>
      <c r="X276" s="76"/>
      <c r="Y276" s="76"/>
      <c r="Z276" s="77"/>
      <c r="AA276" s="77"/>
      <c r="AB276" s="77"/>
      <c r="AC276" s="77"/>
      <c r="AD276" s="77"/>
      <c r="AE276" s="77"/>
      <c r="AF276" s="77"/>
      <c r="AG276" s="77"/>
      <c r="AH276" s="78"/>
      <c r="AI276" s="78"/>
      <c r="AJ276" s="78"/>
      <c r="AK276" s="78"/>
      <c r="AL276" s="78"/>
      <c r="AM276" s="78"/>
      <c r="AN276" s="76"/>
      <c r="AO276" s="76"/>
      <c r="AP276" s="76"/>
      <c r="AQ276" s="76"/>
      <c r="AR276" s="76"/>
      <c r="AS276" s="76"/>
      <c r="AT276" s="76"/>
      <c r="AU276" s="76"/>
      <c r="AV276" s="76"/>
      <c r="AW276" s="79"/>
      <c r="AX276" s="79"/>
      <c r="AY276" s="79"/>
      <c r="AZ276" s="79"/>
      <c r="BA276" s="79"/>
      <c r="BB276" s="11"/>
      <c r="BC276" s="11"/>
      <c r="BD276" s="11"/>
      <c r="BE276" s="73"/>
      <c r="BF276" s="73"/>
      <c r="BG276" s="73"/>
      <c r="BH276" s="77"/>
      <c r="BI276" s="77"/>
      <c r="BJ276" s="77"/>
      <c r="BK276" s="77"/>
      <c r="BL276" s="77"/>
      <c r="BM276" s="77"/>
      <c r="BN276" s="158"/>
      <c r="BO276" s="158"/>
    </row>
    <row r="277" spans="1:67" ht="15" x14ac:dyDescent="0.25">
      <c r="A277" s="71"/>
      <c r="B277" s="11"/>
      <c r="C277" s="11"/>
      <c r="D277" s="11"/>
      <c r="E277" s="11"/>
      <c r="F277" s="11"/>
      <c r="G277" s="11"/>
      <c r="H277" s="11"/>
      <c r="I277" s="11"/>
      <c r="J277" s="249"/>
      <c r="K277" s="72"/>
      <c r="L277" s="73"/>
      <c r="M277" s="73"/>
      <c r="N277" s="74"/>
      <c r="O277" s="75"/>
      <c r="P277" s="73"/>
      <c r="Q277" s="76"/>
      <c r="R277" s="76"/>
      <c r="S277" s="76"/>
      <c r="T277" s="76"/>
      <c r="U277" s="76"/>
      <c r="V277" s="76"/>
      <c r="W277" s="76"/>
      <c r="X277" s="76"/>
      <c r="Y277" s="76"/>
      <c r="Z277" s="77"/>
      <c r="AA277" s="77"/>
      <c r="AB277" s="77"/>
      <c r="AC277" s="77"/>
      <c r="AD277" s="77"/>
      <c r="AE277" s="77"/>
      <c r="AF277" s="77"/>
      <c r="AG277" s="77"/>
      <c r="AH277" s="78"/>
      <c r="AI277" s="78"/>
      <c r="AJ277" s="78"/>
      <c r="AK277" s="78"/>
      <c r="AL277" s="78"/>
      <c r="AM277" s="78"/>
      <c r="AN277" s="76"/>
      <c r="AO277" s="76"/>
      <c r="AP277" s="76"/>
      <c r="AQ277" s="76"/>
      <c r="AR277" s="76"/>
      <c r="AS277" s="76"/>
      <c r="AT277" s="76"/>
      <c r="AU277" s="76"/>
      <c r="AV277" s="76"/>
      <c r="AW277" s="79"/>
      <c r="AX277" s="79"/>
      <c r="AY277" s="79"/>
      <c r="AZ277" s="79"/>
      <c r="BA277" s="79"/>
      <c r="BB277" s="11"/>
      <c r="BC277" s="11"/>
      <c r="BD277" s="11"/>
      <c r="BE277" s="73"/>
      <c r="BF277" s="73"/>
      <c r="BG277" s="73"/>
      <c r="BH277" s="77"/>
      <c r="BI277" s="77"/>
      <c r="BJ277" s="77"/>
      <c r="BK277" s="77"/>
      <c r="BL277" s="77"/>
      <c r="BM277" s="77"/>
      <c r="BN277" s="158"/>
      <c r="BO277" s="158"/>
    </row>
    <row r="278" spans="1:67" ht="15" x14ac:dyDescent="0.25">
      <c r="A278" s="71"/>
      <c r="B278" s="11"/>
      <c r="C278" s="11"/>
      <c r="D278" s="11"/>
      <c r="E278" s="11"/>
      <c r="F278" s="11"/>
      <c r="G278" s="11"/>
      <c r="H278" s="11"/>
      <c r="I278" s="11"/>
      <c r="J278" s="249"/>
      <c r="K278" s="72"/>
      <c r="L278" s="73"/>
      <c r="M278" s="73"/>
      <c r="N278" s="74"/>
      <c r="O278" s="75"/>
      <c r="P278" s="73"/>
      <c r="Q278" s="76"/>
      <c r="R278" s="76"/>
      <c r="S278" s="76"/>
      <c r="T278" s="76"/>
      <c r="U278" s="76"/>
      <c r="V278" s="76"/>
      <c r="W278" s="76"/>
      <c r="X278" s="76"/>
      <c r="Y278" s="76"/>
      <c r="Z278" s="77"/>
      <c r="AA278" s="77"/>
      <c r="AB278" s="77"/>
      <c r="AC278" s="77"/>
      <c r="AD278" s="77"/>
      <c r="AE278" s="77"/>
      <c r="AF278" s="77"/>
      <c r="AG278" s="77"/>
      <c r="AH278" s="78"/>
      <c r="AI278" s="78"/>
      <c r="AJ278" s="78"/>
      <c r="AK278" s="78"/>
      <c r="AL278" s="78"/>
      <c r="AM278" s="78"/>
      <c r="AN278" s="76"/>
      <c r="AO278" s="76"/>
      <c r="AP278" s="76"/>
      <c r="AQ278" s="76"/>
      <c r="AR278" s="76"/>
      <c r="AS278" s="76"/>
      <c r="AT278" s="76"/>
      <c r="AU278" s="76"/>
      <c r="AV278" s="76"/>
      <c r="AW278" s="79"/>
      <c r="AX278" s="79"/>
      <c r="AY278" s="79"/>
      <c r="AZ278" s="79"/>
      <c r="BA278" s="79"/>
      <c r="BB278" s="11"/>
      <c r="BC278" s="11"/>
      <c r="BD278" s="11"/>
      <c r="BE278" s="73"/>
      <c r="BF278" s="73"/>
      <c r="BG278" s="73"/>
      <c r="BH278" s="77"/>
      <c r="BI278" s="77"/>
      <c r="BJ278" s="77"/>
      <c r="BK278" s="77"/>
      <c r="BL278" s="77"/>
      <c r="BM278" s="77"/>
      <c r="BN278" s="158"/>
      <c r="BO278" s="158"/>
    </row>
    <row r="279" spans="1:67" ht="15" x14ac:dyDescent="0.25">
      <c r="A279" s="71"/>
      <c r="B279" s="11"/>
      <c r="C279" s="11"/>
      <c r="D279" s="11"/>
      <c r="E279" s="11"/>
      <c r="F279" s="11"/>
      <c r="G279" s="11"/>
      <c r="H279" s="11"/>
      <c r="I279" s="11"/>
      <c r="J279" s="249"/>
      <c r="K279" s="72"/>
      <c r="L279" s="73"/>
      <c r="M279" s="73"/>
      <c r="N279" s="74"/>
      <c r="O279" s="75"/>
      <c r="P279" s="73"/>
      <c r="Q279" s="76"/>
      <c r="R279" s="76"/>
      <c r="S279" s="76"/>
      <c r="T279" s="76"/>
      <c r="U279" s="76"/>
      <c r="V279" s="76"/>
      <c r="W279" s="76"/>
      <c r="X279" s="76"/>
      <c r="Y279" s="76"/>
      <c r="Z279" s="77"/>
      <c r="AA279" s="77"/>
      <c r="AB279" s="77"/>
      <c r="AC279" s="77"/>
      <c r="AD279" s="77"/>
      <c r="AE279" s="77"/>
      <c r="AF279" s="77"/>
      <c r="AG279" s="77"/>
      <c r="AH279" s="78"/>
      <c r="AI279" s="78"/>
      <c r="AJ279" s="78"/>
      <c r="AK279" s="78"/>
      <c r="AL279" s="78"/>
      <c r="AM279" s="78"/>
      <c r="AN279" s="76"/>
      <c r="AO279" s="76"/>
      <c r="AP279" s="76"/>
      <c r="AQ279" s="76"/>
      <c r="AR279" s="76"/>
      <c r="AS279" s="76"/>
      <c r="AT279" s="76"/>
      <c r="AU279" s="76"/>
      <c r="AV279" s="76"/>
      <c r="AW279" s="79"/>
      <c r="AX279" s="79"/>
      <c r="AY279" s="79"/>
      <c r="AZ279" s="79"/>
      <c r="BA279" s="79"/>
      <c r="BB279" s="11"/>
      <c r="BC279" s="11"/>
      <c r="BD279" s="11"/>
      <c r="BE279" s="73"/>
      <c r="BF279" s="73"/>
      <c r="BG279" s="73"/>
      <c r="BH279" s="77"/>
      <c r="BI279" s="77"/>
      <c r="BJ279" s="77"/>
      <c r="BK279" s="77"/>
      <c r="BL279" s="77"/>
      <c r="BM279" s="77"/>
      <c r="BN279" s="158"/>
      <c r="BO279" s="158"/>
    </row>
    <row r="280" spans="1:67" ht="15" x14ac:dyDescent="0.25">
      <c r="A280" s="71"/>
      <c r="B280" s="11"/>
      <c r="C280" s="11"/>
      <c r="D280" s="11"/>
      <c r="E280" s="11"/>
      <c r="F280" s="11"/>
      <c r="G280" s="11"/>
      <c r="H280" s="11"/>
      <c r="I280" s="11"/>
      <c r="J280" s="249"/>
      <c r="K280" s="72"/>
      <c r="L280" s="73"/>
      <c r="M280" s="73"/>
      <c r="N280" s="74"/>
      <c r="O280" s="75"/>
      <c r="P280" s="73"/>
      <c r="Q280" s="76"/>
      <c r="R280" s="76"/>
      <c r="S280" s="76"/>
      <c r="T280" s="76"/>
      <c r="U280" s="76"/>
      <c r="V280" s="76"/>
      <c r="W280" s="76"/>
      <c r="X280" s="76"/>
      <c r="Y280" s="76"/>
      <c r="Z280" s="77"/>
      <c r="AA280" s="77"/>
      <c r="AB280" s="77"/>
      <c r="AC280" s="77"/>
      <c r="AD280" s="77"/>
      <c r="AE280" s="77"/>
      <c r="AF280" s="77"/>
      <c r="AG280" s="77"/>
      <c r="AH280" s="78"/>
      <c r="AI280" s="78"/>
      <c r="AJ280" s="78"/>
      <c r="AK280" s="78"/>
      <c r="AL280" s="78"/>
      <c r="AM280" s="78"/>
      <c r="AN280" s="76"/>
      <c r="AO280" s="76"/>
      <c r="AP280" s="76"/>
      <c r="AQ280" s="76"/>
      <c r="AR280" s="76"/>
      <c r="AS280" s="76"/>
      <c r="AT280" s="76"/>
      <c r="AU280" s="76"/>
      <c r="AV280" s="76"/>
      <c r="AW280" s="79"/>
      <c r="AX280" s="79"/>
      <c r="AY280" s="79"/>
      <c r="AZ280" s="79"/>
      <c r="BA280" s="79"/>
      <c r="BB280" s="11"/>
      <c r="BC280" s="11"/>
      <c r="BD280" s="11"/>
      <c r="BE280" s="73"/>
      <c r="BF280" s="73"/>
      <c r="BG280" s="73"/>
      <c r="BH280" s="77"/>
      <c r="BI280" s="77"/>
      <c r="BJ280" s="77"/>
      <c r="BK280" s="77"/>
      <c r="BL280" s="77"/>
      <c r="BM280" s="77"/>
      <c r="BN280" s="158"/>
      <c r="BO280" s="158"/>
    </row>
    <row r="281" spans="1:67" ht="15" x14ac:dyDescent="0.25">
      <c r="A281" s="71"/>
      <c r="B281" s="11"/>
      <c r="C281" s="11"/>
      <c r="D281" s="11"/>
      <c r="E281" s="11"/>
      <c r="F281" s="11"/>
      <c r="G281" s="11"/>
      <c r="H281" s="11"/>
      <c r="I281" s="11"/>
      <c r="J281" s="249"/>
      <c r="K281" s="72"/>
      <c r="L281" s="73"/>
      <c r="M281" s="73"/>
      <c r="N281" s="74"/>
      <c r="O281" s="75"/>
      <c r="P281" s="73"/>
      <c r="Q281" s="76"/>
      <c r="R281" s="76"/>
      <c r="S281" s="76"/>
      <c r="T281" s="76"/>
      <c r="U281" s="76"/>
      <c r="V281" s="76"/>
      <c r="W281" s="76"/>
      <c r="X281" s="76"/>
      <c r="Y281" s="76"/>
      <c r="Z281" s="77"/>
      <c r="AA281" s="77"/>
      <c r="AB281" s="77"/>
      <c r="AC281" s="77"/>
      <c r="AD281" s="77"/>
      <c r="AE281" s="77"/>
      <c r="AF281" s="77"/>
      <c r="AG281" s="77"/>
      <c r="AH281" s="78"/>
      <c r="AI281" s="78"/>
      <c r="AJ281" s="78"/>
      <c r="AK281" s="78"/>
      <c r="AL281" s="78"/>
      <c r="AM281" s="78"/>
      <c r="AN281" s="76"/>
      <c r="AO281" s="76"/>
      <c r="AP281" s="76"/>
      <c r="AQ281" s="76"/>
      <c r="AR281" s="76"/>
      <c r="AS281" s="76"/>
      <c r="AT281" s="76"/>
      <c r="AU281" s="76"/>
      <c r="AV281" s="76"/>
      <c r="AW281" s="79"/>
      <c r="AX281" s="79"/>
      <c r="AY281" s="79"/>
      <c r="AZ281" s="79"/>
      <c r="BA281" s="79"/>
      <c r="BB281" s="11"/>
      <c r="BC281" s="11"/>
      <c r="BD281" s="11"/>
      <c r="BE281" s="73"/>
      <c r="BF281" s="73"/>
      <c r="BG281" s="73"/>
      <c r="BH281" s="77"/>
      <c r="BI281" s="77"/>
      <c r="BJ281" s="77"/>
      <c r="BK281" s="77"/>
      <c r="BL281" s="77"/>
      <c r="BM281" s="77"/>
      <c r="BN281" s="158"/>
      <c r="BO281" s="158"/>
    </row>
    <row r="282" spans="1:67" ht="15" x14ac:dyDescent="0.25">
      <c r="A282" s="71"/>
      <c r="B282" s="11"/>
      <c r="C282" s="11"/>
      <c r="D282" s="11"/>
      <c r="E282" s="11"/>
      <c r="F282" s="11"/>
      <c r="G282" s="11"/>
      <c r="H282" s="11"/>
      <c r="I282" s="11"/>
      <c r="J282" s="249"/>
      <c r="K282" s="72"/>
      <c r="L282" s="73"/>
      <c r="M282" s="73"/>
      <c r="N282" s="74"/>
      <c r="O282" s="75"/>
      <c r="P282" s="73"/>
      <c r="Q282" s="76"/>
      <c r="R282" s="76"/>
      <c r="S282" s="76"/>
      <c r="T282" s="76"/>
      <c r="U282" s="76"/>
      <c r="V282" s="76"/>
      <c r="W282" s="76"/>
      <c r="X282" s="76"/>
      <c r="Y282" s="76"/>
      <c r="Z282" s="77"/>
      <c r="AA282" s="77"/>
      <c r="AB282" s="77"/>
      <c r="AC282" s="77"/>
      <c r="AD282" s="77"/>
      <c r="AE282" s="77"/>
      <c r="AF282" s="77"/>
      <c r="AG282" s="77"/>
      <c r="AH282" s="78"/>
      <c r="AI282" s="78"/>
      <c r="AJ282" s="78"/>
      <c r="AK282" s="78"/>
      <c r="AL282" s="78"/>
      <c r="AM282" s="78"/>
      <c r="AN282" s="76"/>
      <c r="AO282" s="76"/>
      <c r="AP282" s="76"/>
      <c r="AQ282" s="76"/>
      <c r="AR282" s="76"/>
      <c r="AS282" s="76"/>
      <c r="AT282" s="76"/>
      <c r="AU282" s="76"/>
      <c r="AV282" s="76"/>
      <c r="AW282" s="79"/>
      <c r="AX282" s="79"/>
      <c r="AY282" s="79"/>
      <c r="AZ282" s="79"/>
      <c r="BA282" s="79"/>
      <c r="BB282" s="11"/>
      <c r="BC282" s="11"/>
      <c r="BD282" s="11"/>
      <c r="BE282" s="73"/>
      <c r="BF282" s="73"/>
      <c r="BG282" s="73"/>
      <c r="BH282" s="77"/>
      <c r="BI282" s="77"/>
      <c r="BJ282" s="77"/>
      <c r="BK282" s="77"/>
      <c r="BL282" s="77"/>
      <c r="BM282" s="77"/>
      <c r="BN282" s="158"/>
      <c r="BO282" s="158"/>
    </row>
    <row r="283" spans="1:67" ht="15" x14ac:dyDescent="0.25">
      <c r="A283" s="71"/>
      <c r="B283" s="11"/>
      <c r="C283" s="11"/>
      <c r="D283" s="11"/>
      <c r="E283" s="11"/>
      <c r="F283" s="11"/>
      <c r="G283" s="11"/>
      <c r="H283" s="11"/>
      <c r="I283" s="11"/>
      <c r="J283" s="249"/>
      <c r="K283" s="72"/>
      <c r="L283" s="73"/>
      <c r="M283" s="73"/>
      <c r="N283" s="74"/>
      <c r="O283" s="75"/>
      <c r="P283" s="73"/>
      <c r="Q283" s="76"/>
      <c r="R283" s="76"/>
      <c r="S283" s="76"/>
      <c r="T283" s="76"/>
      <c r="U283" s="76"/>
      <c r="V283" s="76"/>
      <c r="W283" s="76"/>
      <c r="X283" s="76"/>
      <c r="Y283" s="76"/>
      <c r="Z283" s="77"/>
      <c r="AA283" s="77"/>
      <c r="AB283" s="77"/>
      <c r="AC283" s="77"/>
      <c r="AD283" s="77"/>
      <c r="AE283" s="77"/>
      <c r="AF283" s="77"/>
      <c r="AG283" s="77"/>
      <c r="AH283" s="78"/>
      <c r="AI283" s="78"/>
      <c r="AJ283" s="78"/>
      <c r="AK283" s="78"/>
      <c r="AL283" s="78"/>
      <c r="AM283" s="78"/>
      <c r="AN283" s="76"/>
      <c r="AO283" s="76"/>
      <c r="AP283" s="76"/>
      <c r="AQ283" s="76"/>
      <c r="AR283" s="76"/>
      <c r="AS283" s="76"/>
      <c r="AT283" s="76"/>
      <c r="AU283" s="76"/>
      <c r="AV283" s="76"/>
      <c r="AW283" s="79"/>
      <c r="AX283" s="79"/>
      <c r="AY283" s="79"/>
      <c r="AZ283" s="79"/>
      <c r="BA283" s="79"/>
      <c r="BB283" s="11"/>
      <c r="BC283" s="11"/>
      <c r="BD283" s="11"/>
      <c r="BE283" s="73"/>
      <c r="BF283" s="73"/>
      <c r="BG283" s="73"/>
      <c r="BH283" s="77"/>
      <c r="BI283" s="77"/>
      <c r="BJ283" s="77"/>
      <c r="BK283" s="77"/>
      <c r="BL283" s="77"/>
      <c r="BM283" s="77"/>
      <c r="BN283" s="158"/>
      <c r="BO283" s="158"/>
    </row>
    <row r="284" spans="1:67" ht="15" x14ac:dyDescent="0.25">
      <c r="A284" s="71"/>
      <c r="B284" s="11"/>
      <c r="C284" s="11"/>
      <c r="D284" s="11"/>
      <c r="E284" s="11"/>
      <c r="F284" s="11"/>
      <c r="G284" s="11"/>
      <c r="H284" s="11"/>
      <c r="I284" s="11"/>
      <c r="J284" s="249"/>
      <c r="K284" s="72"/>
      <c r="L284" s="73"/>
      <c r="M284" s="73"/>
      <c r="N284" s="74"/>
      <c r="O284" s="75"/>
      <c r="P284" s="73"/>
      <c r="Q284" s="76"/>
      <c r="R284" s="76"/>
      <c r="S284" s="76"/>
      <c r="T284" s="76"/>
      <c r="U284" s="76"/>
      <c r="V284" s="76"/>
      <c r="W284" s="76"/>
      <c r="X284" s="76"/>
      <c r="Y284" s="76"/>
      <c r="Z284" s="77"/>
      <c r="AA284" s="77"/>
      <c r="AB284" s="77"/>
      <c r="AC284" s="77"/>
      <c r="AD284" s="77"/>
      <c r="AE284" s="77"/>
      <c r="AF284" s="77"/>
      <c r="AG284" s="77"/>
      <c r="AH284" s="78"/>
      <c r="AI284" s="78"/>
      <c r="AJ284" s="78"/>
      <c r="AK284" s="78"/>
      <c r="AL284" s="78"/>
      <c r="AM284" s="78"/>
      <c r="AN284" s="76"/>
      <c r="AO284" s="76"/>
      <c r="AP284" s="76"/>
      <c r="AQ284" s="76"/>
      <c r="AR284" s="76"/>
      <c r="AS284" s="76"/>
      <c r="AT284" s="76"/>
      <c r="AU284" s="76"/>
      <c r="AV284" s="76"/>
      <c r="AW284" s="79"/>
      <c r="AX284" s="79"/>
      <c r="AY284" s="79"/>
      <c r="AZ284" s="79"/>
      <c r="BA284" s="79"/>
      <c r="BB284" s="11"/>
      <c r="BC284" s="11"/>
      <c r="BD284" s="11"/>
      <c r="BE284" s="73"/>
      <c r="BF284" s="73"/>
      <c r="BG284" s="73"/>
      <c r="BH284" s="77"/>
      <c r="BI284" s="77"/>
      <c r="BJ284" s="77"/>
      <c r="BK284" s="77"/>
      <c r="BL284" s="77"/>
      <c r="BM284" s="77"/>
      <c r="BN284" s="158"/>
      <c r="BO284" s="158"/>
    </row>
    <row r="285" spans="1:67" ht="15" x14ac:dyDescent="0.25">
      <c r="A285" s="71"/>
      <c r="B285" s="11"/>
      <c r="C285" s="11"/>
      <c r="D285" s="11"/>
      <c r="E285" s="11"/>
      <c r="F285" s="11"/>
      <c r="G285" s="11"/>
      <c r="H285" s="11"/>
      <c r="I285" s="11"/>
      <c r="J285" s="249"/>
      <c r="K285" s="72"/>
      <c r="L285" s="73"/>
      <c r="M285" s="73"/>
      <c r="N285" s="74"/>
      <c r="O285" s="75"/>
      <c r="P285" s="73"/>
      <c r="Q285" s="76"/>
      <c r="R285" s="76"/>
      <c r="S285" s="76"/>
      <c r="T285" s="76"/>
      <c r="U285" s="76"/>
      <c r="V285" s="76"/>
      <c r="W285" s="76"/>
      <c r="X285" s="76"/>
      <c r="Y285" s="76"/>
      <c r="Z285" s="77"/>
      <c r="AA285" s="77"/>
      <c r="AB285" s="77"/>
      <c r="AC285" s="77"/>
      <c r="AD285" s="77"/>
      <c r="AE285" s="77"/>
      <c r="AF285" s="77"/>
      <c r="AG285" s="77"/>
      <c r="AH285" s="78"/>
      <c r="AI285" s="78"/>
      <c r="AJ285" s="78"/>
      <c r="AK285" s="78"/>
      <c r="AL285" s="78"/>
      <c r="AM285" s="78"/>
      <c r="AN285" s="76"/>
      <c r="AO285" s="76"/>
      <c r="AP285" s="76"/>
      <c r="AQ285" s="76"/>
      <c r="AR285" s="76"/>
      <c r="AS285" s="76"/>
      <c r="AT285" s="76"/>
      <c r="AU285" s="76"/>
      <c r="AV285" s="76"/>
      <c r="AW285" s="79"/>
      <c r="AX285" s="79"/>
      <c r="AY285" s="79"/>
      <c r="AZ285" s="79"/>
      <c r="BA285" s="79"/>
      <c r="BB285" s="11"/>
      <c r="BC285" s="11"/>
      <c r="BD285" s="11"/>
      <c r="BE285" s="73"/>
      <c r="BF285" s="73"/>
      <c r="BG285" s="73"/>
      <c r="BH285" s="77"/>
      <c r="BI285" s="77"/>
      <c r="BJ285" s="77"/>
      <c r="BK285" s="77"/>
      <c r="BL285" s="77"/>
      <c r="BM285" s="77"/>
      <c r="BN285" s="158"/>
      <c r="BO285" s="158"/>
    </row>
    <row r="286" spans="1:67" ht="15" x14ac:dyDescent="0.25">
      <c r="A286" s="71"/>
      <c r="B286" s="11"/>
      <c r="C286" s="11"/>
      <c r="D286" s="11"/>
      <c r="E286" s="11"/>
      <c r="F286" s="11"/>
      <c r="G286" s="11"/>
      <c r="H286" s="11"/>
      <c r="I286" s="11"/>
      <c r="J286" s="249"/>
      <c r="K286" s="72"/>
      <c r="L286" s="73"/>
      <c r="M286" s="73"/>
      <c r="N286" s="74"/>
      <c r="O286" s="75"/>
      <c r="P286" s="73"/>
      <c r="Q286" s="76"/>
      <c r="R286" s="76"/>
      <c r="S286" s="76"/>
      <c r="T286" s="76"/>
      <c r="U286" s="76"/>
      <c r="V286" s="76"/>
      <c r="W286" s="76"/>
      <c r="X286" s="76"/>
      <c r="Y286" s="76"/>
      <c r="Z286" s="77"/>
      <c r="AA286" s="77"/>
      <c r="AB286" s="77"/>
      <c r="AC286" s="77"/>
      <c r="AD286" s="77"/>
      <c r="AE286" s="77"/>
      <c r="AF286" s="77"/>
      <c r="AG286" s="77"/>
      <c r="AH286" s="78"/>
      <c r="AI286" s="78"/>
      <c r="AJ286" s="78"/>
      <c r="AK286" s="78"/>
      <c r="AL286" s="78"/>
      <c r="AM286" s="78"/>
      <c r="AN286" s="76"/>
      <c r="AO286" s="76"/>
      <c r="AP286" s="76"/>
      <c r="AQ286" s="76"/>
      <c r="AR286" s="76"/>
      <c r="AS286" s="76"/>
      <c r="AT286" s="76"/>
      <c r="AU286" s="76"/>
      <c r="AV286" s="76"/>
      <c r="AW286" s="79"/>
      <c r="AX286" s="79"/>
      <c r="AY286" s="79"/>
      <c r="AZ286" s="79"/>
      <c r="BA286" s="79"/>
      <c r="BB286" s="11"/>
      <c r="BC286" s="11"/>
      <c r="BD286" s="11"/>
      <c r="BE286" s="73"/>
      <c r="BF286" s="73"/>
      <c r="BG286" s="73"/>
      <c r="BH286" s="77"/>
      <c r="BI286" s="77"/>
      <c r="BJ286" s="77"/>
      <c r="BK286" s="77"/>
      <c r="BL286" s="77"/>
      <c r="BM286" s="77"/>
      <c r="BN286" s="158"/>
      <c r="BO286" s="158"/>
    </row>
    <row r="287" spans="1:67" ht="15" x14ac:dyDescent="0.25">
      <c r="A287" s="71"/>
      <c r="B287" s="11"/>
      <c r="C287" s="11"/>
      <c r="D287" s="11"/>
      <c r="E287" s="11"/>
      <c r="F287" s="11"/>
      <c r="G287" s="11"/>
      <c r="H287" s="11"/>
      <c r="I287" s="11"/>
      <c r="J287" s="249"/>
      <c r="K287" s="72"/>
      <c r="L287" s="73"/>
      <c r="M287" s="73"/>
      <c r="N287" s="74"/>
      <c r="O287" s="75"/>
      <c r="P287" s="73"/>
      <c r="Q287" s="76"/>
      <c r="R287" s="76"/>
      <c r="S287" s="76"/>
      <c r="T287" s="76"/>
      <c r="U287" s="76"/>
      <c r="V287" s="76"/>
      <c r="W287" s="76"/>
      <c r="X287" s="76"/>
      <c r="Y287" s="76"/>
      <c r="Z287" s="77"/>
      <c r="AA287" s="77"/>
      <c r="AB287" s="77"/>
      <c r="AC287" s="77"/>
      <c r="AD287" s="77"/>
      <c r="AE287" s="77"/>
      <c r="AF287" s="77"/>
      <c r="AG287" s="77"/>
      <c r="AH287" s="78"/>
      <c r="AI287" s="78"/>
      <c r="AJ287" s="78"/>
      <c r="AK287" s="78"/>
      <c r="AL287" s="78"/>
      <c r="AM287" s="78"/>
      <c r="AN287" s="76"/>
      <c r="AO287" s="76"/>
      <c r="AP287" s="76"/>
      <c r="AQ287" s="76"/>
      <c r="AR287" s="76"/>
      <c r="AS287" s="76"/>
      <c r="AT287" s="76"/>
      <c r="AU287" s="76"/>
      <c r="AV287" s="76"/>
      <c r="AW287" s="79"/>
      <c r="AX287" s="79"/>
      <c r="AY287" s="79"/>
      <c r="AZ287" s="79"/>
      <c r="BA287" s="79"/>
      <c r="BB287" s="11"/>
      <c r="BC287" s="11"/>
      <c r="BD287" s="11"/>
      <c r="BE287" s="73"/>
      <c r="BF287" s="73"/>
      <c r="BG287" s="73"/>
      <c r="BH287" s="77"/>
      <c r="BI287" s="77"/>
      <c r="BJ287" s="77"/>
      <c r="BK287" s="77"/>
      <c r="BL287" s="77"/>
      <c r="BM287" s="77"/>
      <c r="BN287" s="158"/>
      <c r="BO287" s="158"/>
    </row>
    <row r="288" spans="1:67" ht="15" x14ac:dyDescent="0.25">
      <c r="A288" s="71"/>
      <c r="B288" s="11"/>
      <c r="C288" s="11"/>
      <c r="D288" s="11"/>
      <c r="E288" s="11"/>
      <c r="F288" s="11"/>
      <c r="G288" s="11"/>
      <c r="H288" s="11"/>
      <c r="I288" s="11"/>
      <c r="J288" s="249"/>
      <c r="K288" s="72"/>
      <c r="L288" s="73"/>
      <c r="M288" s="73"/>
      <c r="N288" s="74"/>
      <c r="O288" s="75"/>
      <c r="P288" s="73"/>
      <c r="Q288" s="76"/>
      <c r="R288" s="76"/>
      <c r="S288" s="76"/>
      <c r="T288" s="76"/>
      <c r="U288" s="76"/>
      <c r="V288" s="76"/>
      <c r="W288" s="76"/>
      <c r="X288" s="76"/>
      <c r="Y288" s="76"/>
      <c r="Z288" s="77"/>
      <c r="AA288" s="77"/>
      <c r="AB288" s="77"/>
      <c r="AC288" s="77"/>
      <c r="AD288" s="77"/>
      <c r="AE288" s="77"/>
      <c r="AF288" s="77"/>
      <c r="AG288" s="77"/>
      <c r="AH288" s="78"/>
      <c r="AI288" s="78"/>
      <c r="AJ288" s="78"/>
      <c r="AK288" s="78"/>
      <c r="AL288" s="78"/>
      <c r="AM288" s="78"/>
      <c r="AN288" s="76"/>
      <c r="AO288" s="76"/>
      <c r="AP288" s="76"/>
      <c r="AQ288" s="76"/>
      <c r="AR288" s="76"/>
      <c r="AS288" s="76"/>
      <c r="AT288" s="76"/>
      <c r="AU288" s="76"/>
      <c r="AV288" s="76"/>
      <c r="AW288" s="79"/>
      <c r="AX288" s="79"/>
      <c r="AY288" s="79"/>
      <c r="AZ288" s="79"/>
      <c r="BA288" s="79"/>
      <c r="BB288" s="11"/>
      <c r="BC288" s="11"/>
      <c r="BD288" s="11"/>
      <c r="BE288" s="73"/>
      <c r="BF288" s="73"/>
      <c r="BG288" s="73"/>
      <c r="BH288" s="77"/>
      <c r="BI288" s="77"/>
      <c r="BJ288" s="77"/>
      <c r="BK288" s="77"/>
      <c r="BL288" s="77"/>
      <c r="BM288" s="77"/>
      <c r="BN288" s="158"/>
      <c r="BO288" s="158"/>
    </row>
    <row r="289" spans="1:67" ht="15" x14ac:dyDescent="0.25">
      <c r="A289" s="71"/>
      <c r="B289" s="11"/>
      <c r="C289" s="11"/>
      <c r="D289" s="11"/>
      <c r="E289" s="11"/>
      <c r="F289" s="11"/>
      <c r="G289" s="11"/>
      <c r="H289" s="11"/>
      <c r="I289" s="11"/>
      <c r="J289" s="249"/>
      <c r="K289" s="72"/>
      <c r="L289" s="73"/>
      <c r="M289" s="73"/>
      <c r="N289" s="74"/>
      <c r="O289" s="75"/>
      <c r="P289" s="73"/>
      <c r="Q289" s="76"/>
      <c r="R289" s="76"/>
      <c r="S289" s="76"/>
      <c r="T289" s="76"/>
      <c r="U289" s="76"/>
      <c r="V289" s="76"/>
      <c r="W289" s="76"/>
      <c r="X289" s="76"/>
      <c r="Y289" s="76"/>
      <c r="Z289" s="77"/>
      <c r="AA289" s="77"/>
      <c r="AB289" s="77"/>
      <c r="AC289" s="77"/>
      <c r="AD289" s="77"/>
      <c r="AE289" s="77"/>
      <c r="AF289" s="77"/>
      <c r="AG289" s="77"/>
      <c r="AH289" s="78"/>
      <c r="AI289" s="78"/>
      <c r="AJ289" s="78"/>
      <c r="AK289" s="78"/>
      <c r="AL289" s="78"/>
      <c r="AM289" s="78"/>
      <c r="AN289" s="76"/>
      <c r="AO289" s="76"/>
      <c r="AP289" s="76"/>
      <c r="AQ289" s="76"/>
      <c r="AR289" s="76"/>
      <c r="AS289" s="76"/>
      <c r="AT289" s="76"/>
      <c r="AU289" s="76"/>
      <c r="AV289" s="76"/>
      <c r="AW289" s="79"/>
      <c r="AX289" s="79"/>
      <c r="AY289" s="79"/>
      <c r="AZ289" s="79"/>
      <c r="BA289" s="79"/>
      <c r="BB289" s="11"/>
      <c r="BC289" s="11"/>
      <c r="BD289" s="11"/>
      <c r="BE289" s="73"/>
      <c r="BF289" s="73"/>
      <c r="BG289" s="73"/>
      <c r="BH289" s="77"/>
      <c r="BI289" s="77"/>
      <c r="BJ289" s="77"/>
      <c r="BK289" s="77"/>
      <c r="BL289" s="77"/>
      <c r="BM289" s="77"/>
      <c r="BN289" s="158"/>
      <c r="BO289" s="158"/>
    </row>
    <row r="290" spans="1:67" ht="15" x14ac:dyDescent="0.25">
      <c r="A290" s="71"/>
      <c r="B290" s="11"/>
      <c r="C290" s="11"/>
      <c r="D290" s="11"/>
      <c r="E290" s="11"/>
      <c r="F290" s="11"/>
      <c r="G290" s="11"/>
      <c r="H290" s="11"/>
      <c r="I290" s="11"/>
      <c r="J290" s="249"/>
      <c r="K290" s="72"/>
      <c r="L290" s="73"/>
      <c r="M290" s="73"/>
      <c r="N290" s="74"/>
      <c r="O290" s="75"/>
      <c r="P290" s="73"/>
      <c r="Q290" s="76"/>
      <c r="R290" s="76"/>
      <c r="S290" s="76"/>
      <c r="T290" s="76"/>
      <c r="U290" s="76"/>
      <c r="V290" s="76"/>
      <c r="W290" s="76"/>
      <c r="X290" s="76"/>
      <c r="Y290" s="76"/>
      <c r="Z290" s="77"/>
      <c r="AA290" s="77"/>
      <c r="AB290" s="77"/>
      <c r="AC290" s="77"/>
      <c r="AD290" s="77"/>
      <c r="AE290" s="77"/>
      <c r="AF290" s="77"/>
      <c r="AG290" s="77"/>
      <c r="AH290" s="78"/>
      <c r="AI290" s="78"/>
      <c r="AJ290" s="78"/>
      <c r="AK290" s="78"/>
      <c r="AL290" s="78"/>
      <c r="AM290" s="78"/>
      <c r="AN290" s="76"/>
      <c r="AO290" s="76"/>
      <c r="AP290" s="76"/>
      <c r="AQ290" s="76"/>
      <c r="AR290" s="76"/>
      <c r="AS290" s="76"/>
      <c r="AT290" s="76"/>
      <c r="AU290" s="76"/>
      <c r="AV290" s="76"/>
      <c r="AW290" s="79"/>
      <c r="AX290" s="79"/>
      <c r="AY290" s="79"/>
      <c r="AZ290" s="79"/>
      <c r="BA290" s="79"/>
      <c r="BB290" s="11"/>
      <c r="BC290" s="11"/>
      <c r="BD290" s="11"/>
      <c r="BE290" s="73"/>
      <c r="BF290" s="73"/>
      <c r="BG290" s="73"/>
      <c r="BH290" s="77"/>
      <c r="BI290" s="77"/>
      <c r="BJ290" s="77"/>
      <c r="BK290" s="77"/>
      <c r="BL290" s="77"/>
      <c r="BM290" s="77"/>
      <c r="BN290" s="158"/>
      <c r="BO290" s="158"/>
    </row>
    <row r="291" spans="1:67" ht="15" x14ac:dyDescent="0.25">
      <c r="A291" s="71"/>
      <c r="B291" s="11"/>
      <c r="C291" s="11"/>
      <c r="D291" s="11"/>
      <c r="E291" s="11"/>
      <c r="F291" s="11"/>
      <c r="G291" s="11"/>
      <c r="H291" s="11"/>
      <c r="I291" s="11"/>
      <c r="J291" s="249"/>
      <c r="K291" s="72"/>
      <c r="L291" s="73"/>
      <c r="M291" s="73"/>
      <c r="N291" s="74"/>
      <c r="O291" s="75"/>
      <c r="P291" s="73"/>
      <c r="Q291" s="76"/>
      <c r="R291" s="76"/>
      <c r="S291" s="76"/>
      <c r="T291" s="76"/>
      <c r="U291" s="76"/>
      <c r="V291" s="76"/>
      <c r="W291" s="76"/>
      <c r="X291" s="76"/>
      <c r="Y291" s="76"/>
      <c r="Z291" s="77"/>
      <c r="AA291" s="77"/>
      <c r="AB291" s="77"/>
      <c r="AC291" s="77"/>
      <c r="AD291" s="77"/>
      <c r="AE291" s="77"/>
      <c r="AF291" s="77"/>
      <c r="AG291" s="77"/>
      <c r="AH291" s="78"/>
      <c r="AI291" s="78"/>
      <c r="AJ291" s="78"/>
      <c r="AK291" s="78"/>
      <c r="AL291" s="78"/>
      <c r="AM291" s="78"/>
      <c r="AN291" s="76"/>
      <c r="AO291" s="76"/>
      <c r="AP291" s="76"/>
      <c r="AQ291" s="76"/>
      <c r="AR291" s="76"/>
      <c r="AS291" s="76"/>
      <c r="AT291" s="76"/>
      <c r="AU291" s="76"/>
      <c r="AV291" s="76"/>
      <c r="AW291" s="79"/>
      <c r="AX291" s="79"/>
      <c r="AY291" s="79"/>
      <c r="AZ291" s="79"/>
      <c r="BA291" s="79"/>
      <c r="BB291" s="11"/>
      <c r="BC291" s="11"/>
      <c r="BD291" s="11"/>
      <c r="BE291" s="73"/>
      <c r="BF291" s="73"/>
      <c r="BG291" s="73"/>
      <c r="BH291" s="77"/>
      <c r="BI291" s="77"/>
      <c r="BJ291" s="77"/>
      <c r="BK291" s="77"/>
      <c r="BL291" s="77"/>
      <c r="BM291" s="77"/>
      <c r="BN291" s="158"/>
      <c r="BO291" s="158"/>
    </row>
    <row r="292" spans="1:67" ht="15" x14ac:dyDescent="0.25">
      <c r="A292" s="71"/>
      <c r="B292" s="11"/>
      <c r="C292" s="11"/>
      <c r="D292" s="11"/>
      <c r="E292" s="11"/>
      <c r="F292" s="11"/>
      <c r="G292" s="11"/>
      <c r="H292" s="11"/>
      <c r="I292" s="11"/>
      <c r="J292" s="249"/>
      <c r="K292" s="72"/>
      <c r="L292" s="73"/>
      <c r="M292" s="73"/>
      <c r="N292" s="74"/>
      <c r="O292" s="75"/>
      <c r="P292" s="73"/>
      <c r="Q292" s="76"/>
      <c r="R292" s="76"/>
      <c r="S292" s="76"/>
      <c r="T292" s="76"/>
      <c r="U292" s="76"/>
      <c r="V292" s="76"/>
      <c r="W292" s="76"/>
      <c r="X292" s="76"/>
      <c r="Y292" s="76"/>
      <c r="Z292" s="77"/>
      <c r="AA292" s="77"/>
      <c r="AB292" s="77"/>
      <c r="AC292" s="77"/>
      <c r="AD292" s="77"/>
      <c r="AE292" s="77"/>
      <c r="AF292" s="77"/>
      <c r="AG292" s="77"/>
      <c r="AH292" s="78"/>
      <c r="AI292" s="78"/>
      <c r="AJ292" s="78"/>
      <c r="AK292" s="78"/>
      <c r="AL292" s="78"/>
      <c r="AM292" s="78"/>
      <c r="AN292" s="76"/>
      <c r="AO292" s="76"/>
      <c r="AP292" s="76"/>
      <c r="AQ292" s="76"/>
      <c r="AR292" s="76"/>
      <c r="AS292" s="76"/>
      <c r="AT292" s="76"/>
      <c r="AU292" s="76"/>
      <c r="AV292" s="76"/>
      <c r="AW292" s="79"/>
      <c r="AX292" s="79"/>
      <c r="AY292" s="79"/>
      <c r="AZ292" s="79"/>
      <c r="BA292" s="79"/>
      <c r="BB292" s="11"/>
      <c r="BC292" s="11"/>
      <c r="BD292" s="11"/>
      <c r="BE292" s="73"/>
      <c r="BF292" s="73"/>
      <c r="BG292" s="73"/>
      <c r="BH292" s="77"/>
      <c r="BI292" s="77"/>
      <c r="BJ292" s="77"/>
      <c r="BK292" s="77"/>
      <c r="BL292" s="77"/>
      <c r="BM292" s="77"/>
      <c r="BN292" s="158"/>
      <c r="BO292" s="158"/>
    </row>
    <row r="293" spans="1:67" ht="15" x14ac:dyDescent="0.25">
      <c r="A293" s="71"/>
      <c r="B293" s="11"/>
      <c r="C293" s="11"/>
      <c r="D293" s="11"/>
      <c r="E293" s="11"/>
      <c r="F293" s="11"/>
      <c r="G293" s="11"/>
      <c r="H293" s="11"/>
      <c r="I293" s="11"/>
      <c r="J293" s="249"/>
      <c r="K293" s="72"/>
      <c r="L293" s="73"/>
      <c r="M293" s="73"/>
      <c r="N293" s="74"/>
      <c r="O293" s="75"/>
      <c r="P293" s="73"/>
      <c r="Q293" s="76"/>
      <c r="R293" s="76"/>
      <c r="S293" s="76"/>
      <c r="T293" s="76"/>
      <c r="U293" s="76"/>
      <c r="V293" s="76"/>
      <c r="W293" s="76"/>
      <c r="X293" s="76"/>
      <c r="Y293" s="76"/>
      <c r="Z293" s="77"/>
      <c r="AA293" s="77"/>
      <c r="AB293" s="77"/>
      <c r="AC293" s="77"/>
      <c r="AD293" s="77"/>
      <c r="AE293" s="77"/>
      <c r="AF293" s="77"/>
      <c r="AG293" s="77"/>
      <c r="AH293" s="78"/>
      <c r="AI293" s="78"/>
      <c r="AJ293" s="78"/>
      <c r="AK293" s="78"/>
      <c r="AL293" s="78"/>
      <c r="AM293" s="78"/>
      <c r="AN293" s="76"/>
      <c r="AO293" s="76"/>
      <c r="AP293" s="76"/>
      <c r="AQ293" s="76"/>
      <c r="AR293" s="76"/>
      <c r="AS293" s="76"/>
      <c r="AT293" s="76"/>
      <c r="AU293" s="76"/>
      <c r="AV293" s="76"/>
      <c r="AW293" s="79"/>
      <c r="AX293" s="79"/>
      <c r="AY293" s="79"/>
      <c r="AZ293" s="79"/>
      <c r="BA293" s="79"/>
      <c r="BB293" s="11"/>
      <c r="BC293" s="11"/>
      <c r="BD293" s="11"/>
      <c r="BE293" s="73"/>
      <c r="BF293" s="73"/>
      <c r="BG293" s="73"/>
      <c r="BH293" s="77"/>
      <c r="BI293" s="77"/>
      <c r="BJ293" s="77"/>
      <c r="BK293" s="77"/>
      <c r="BL293" s="77"/>
      <c r="BM293" s="77"/>
      <c r="BN293" s="158"/>
      <c r="BO293" s="158"/>
    </row>
    <row r="294" spans="1:67" ht="15" x14ac:dyDescent="0.25">
      <c r="A294" s="71"/>
      <c r="B294" s="11"/>
      <c r="C294" s="11"/>
      <c r="D294" s="11"/>
      <c r="E294" s="11"/>
      <c r="F294" s="11"/>
      <c r="G294" s="11"/>
      <c r="H294" s="11"/>
      <c r="I294" s="11"/>
      <c r="J294" s="249"/>
      <c r="K294" s="72"/>
      <c r="L294" s="73"/>
      <c r="M294" s="73"/>
      <c r="N294" s="74"/>
      <c r="O294" s="75"/>
      <c r="P294" s="73"/>
      <c r="Q294" s="76"/>
      <c r="R294" s="76"/>
      <c r="S294" s="76"/>
      <c r="T294" s="76"/>
      <c r="U294" s="76"/>
      <c r="V294" s="76"/>
      <c r="W294" s="76"/>
      <c r="X294" s="76"/>
      <c r="Y294" s="76"/>
      <c r="Z294" s="77"/>
      <c r="AA294" s="77"/>
      <c r="AB294" s="77"/>
      <c r="AC294" s="77"/>
      <c r="AD294" s="77"/>
      <c r="AE294" s="77"/>
      <c r="AF294" s="77"/>
      <c r="AG294" s="77"/>
      <c r="AH294" s="78"/>
      <c r="AI294" s="78"/>
      <c r="AJ294" s="78"/>
      <c r="AK294" s="78"/>
      <c r="AL294" s="78"/>
      <c r="AM294" s="78"/>
      <c r="AN294" s="76"/>
      <c r="AO294" s="76"/>
      <c r="AP294" s="76"/>
      <c r="AQ294" s="76"/>
      <c r="AR294" s="76"/>
      <c r="AS294" s="76"/>
      <c r="AT294" s="76"/>
      <c r="AU294" s="76"/>
      <c r="AV294" s="76"/>
      <c r="AW294" s="79"/>
      <c r="AX294" s="79"/>
      <c r="AY294" s="79"/>
      <c r="AZ294" s="79"/>
      <c r="BA294" s="79"/>
      <c r="BB294" s="11"/>
      <c r="BC294" s="11"/>
      <c r="BD294" s="11"/>
      <c r="BE294" s="73"/>
      <c r="BF294" s="73"/>
      <c r="BG294" s="73"/>
      <c r="BH294" s="77"/>
      <c r="BI294" s="77"/>
      <c r="BJ294" s="77"/>
      <c r="BK294" s="77"/>
      <c r="BL294" s="77"/>
      <c r="BM294" s="77"/>
      <c r="BN294" s="158"/>
      <c r="BO294" s="158"/>
    </row>
    <row r="295" spans="1:67" ht="15" x14ac:dyDescent="0.25">
      <c r="A295" s="71"/>
      <c r="B295" s="11"/>
      <c r="C295" s="11"/>
      <c r="D295" s="11"/>
      <c r="E295" s="11"/>
      <c r="F295" s="11"/>
      <c r="G295" s="11"/>
      <c r="H295" s="11"/>
      <c r="I295" s="11"/>
      <c r="J295" s="249"/>
      <c r="K295" s="72"/>
      <c r="L295" s="73"/>
      <c r="M295" s="73"/>
      <c r="N295" s="74"/>
      <c r="O295" s="75"/>
      <c r="P295" s="73"/>
      <c r="Q295" s="76"/>
      <c r="R295" s="76"/>
      <c r="S295" s="76"/>
      <c r="T295" s="76"/>
      <c r="U295" s="76"/>
      <c r="V295" s="76"/>
      <c r="W295" s="76"/>
      <c r="X295" s="76"/>
      <c r="Y295" s="76"/>
      <c r="Z295" s="77"/>
      <c r="AA295" s="77"/>
      <c r="AB295" s="77"/>
      <c r="AC295" s="77"/>
      <c r="AD295" s="77"/>
      <c r="AE295" s="77"/>
      <c r="AF295" s="77"/>
      <c r="AG295" s="77"/>
      <c r="AH295" s="78"/>
      <c r="AI295" s="78"/>
      <c r="AJ295" s="78"/>
      <c r="AK295" s="78"/>
      <c r="AL295" s="78"/>
      <c r="AM295" s="78"/>
      <c r="AN295" s="76"/>
      <c r="AO295" s="76"/>
      <c r="AP295" s="76"/>
      <c r="AQ295" s="76"/>
      <c r="AR295" s="76"/>
      <c r="AS295" s="76"/>
      <c r="AT295" s="76"/>
      <c r="AU295" s="76"/>
      <c r="AV295" s="76"/>
      <c r="AW295" s="79"/>
      <c r="AX295" s="79"/>
      <c r="AY295" s="79"/>
      <c r="AZ295" s="79"/>
      <c r="BA295" s="79"/>
      <c r="BB295" s="11"/>
      <c r="BC295" s="11"/>
      <c r="BD295" s="11"/>
      <c r="BE295" s="73"/>
      <c r="BF295" s="73"/>
      <c r="BG295" s="73"/>
      <c r="BH295" s="77"/>
      <c r="BI295" s="77"/>
      <c r="BJ295" s="77"/>
      <c r="BK295" s="77"/>
      <c r="BL295" s="77"/>
      <c r="BM295" s="77"/>
      <c r="BN295" s="158"/>
      <c r="BO295" s="158"/>
    </row>
    <row r="296" spans="1:67" ht="15" x14ac:dyDescent="0.25">
      <c r="A296" s="71"/>
      <c r="B296" s="11"/>
      <c r="C296" s="11"/>
      <c r="D296" s="11"/>
      <c r="E296" s="11"/>
      <c r="F296" s="11"/>
      <c r="G296" s="11"/>
      <c r="H296" s="11"/>
      <c r="I296" s="11"/>
      <c r="J296" s="249"/>
      <c r="K296" s="72"/>
      <c r="L296" s="73"/>
      <c r="M296" s="73"/>
      <c r="N296" s="74"/>
      <c r="O296" s="75"/>
      <c r="P296" s="73"/>
      <c r="Q296" s="76"/>
      <c r="R296" s="76"/>
      <c r="S296" s="76"/>
      <c r="T296" s="76"/>
      <c r="U296" s="76"/>
      <c r="V296" s="76"/>
      <c r="W296" s="76"/>
      <c r="X296" s="76"/>
      <c r="Y296" s="76"/>
      <c r="Z296" s="77"/>
      <c r="AA296" s="77"/>
      <c r="AB296" s="77"/>
      <c r="AC296" s="77"/>
      <c r="AD296" s="77"/>
      <c r="AE296" s="77"/>
      <c r="AF296" s="77"/>
      <c r="AG296" s="77"/>
      <c r="AH296" s="78"/>
      <c r="AI296" s="78"/>
      <c r="AJ296" s="78"/>
      <c r="AK296" s="78"/>
      <c r="AL296" s="78"/>
      <c r="AM296" s="78"/>
      <c r="AN296" s="76"/>
      <c r="AO296" s="76"/>
      <c r="AP296" s="76"/>
      <c r="AQ296" s="76"/>
      <c r="AR296" s="76"/>
      <c r="AS296" s="76"/>
      <c r="AT296" s="76"/>
      <c r="AU296" s="76"/>
      <c r="AV296" s="76"/>
      <c r="AW296" s="79"/>
      <c r="AX296" s="79"/>
      <c r="AY296" s="79"/>
      <c r="AZ296" s="79"/>
      <c r="BA296" s="79"/>
      <c r="BB296" s="11"/>
      <c r="BC296" s="11"/>
      <c r="BD296" s="11"/>
      <c r="BE296" s="73"/>
      <c r="BF296" s="73"/>
      <c r="BG296" s="73"/>
      <c r="BH296" s="77"/>
      <c r="BI296" s="77"/>
      <c r="BJ296" s="77"/>
      <c r="BK296" s="77"/>
      <c r="BL296" s="77"/>
      <c r="BM296" s="77"/>
      <c r="BN296" s="158"/>
      <c r="BO296" s="158"/>
    </row>
    <row r="297" spans="1:67" ht="15" x14ac:dyDescent="0.25">
      <c r="A297" s="71"/>
      <c r="B297" s="11"/>
      <c r="C297" s="11"/>
      <c r="D297" s="11"/>
      <c r="E297" s="11"/>
      <c r="F297" s="11"/>
      <c r="G297" s="11"/>
      <c r="H297" s="11"/>
      <c r="I297" s="11"/>
      <c r="J297" s="249"/>
      <c r="K297" s="72"/>
      <c r="L297" s="73"/>
      <c r="M297" s="73"/>
      <c r="N297" s="74"/>
      <c r="O297" s="75"/>
      <c r="P297" s="73"/>
      <c r="Q297" s="76"/>
      <c r="R297" s="76"/>
      <c r="S297" s="76"/>
      <c r="T297" s="76"/>
      <c r="U297" s="76"/>
      <c r="V297" s="76"/>
      <c r="W297" s="76"/>
      <c r="X297" s="76"/>
      <c r="Y297" s="76"/>
      <c r="Z297" s="77"/>
      <c r="AA297" s="77"/>
      <c r="AB297" s="77"/>
      <c r="AC297" s="77"/>
      <c r="AD297" s="77"/>
      <c r="AE297" s="77"/>
      <c r="AF297" s="77"/>
      <c r="AG297" s="77"/>
      <c r="AH297" s="78"/>
      <c r="AI297" s="78"/>
      <c r="AJ297" s="78"/>
      <c r="AK297" s="78"/>
      <c r="AL297" s="78"/>
      <c r="AM297" s="78"/>
      <c r="AN297" s="76"/>
      <c r="AO297" s="76"/>
      <c r="AP297" s="76"/>
      <c r="AQ297" s="76"/>
      <c r="AR297" s="76"/>
      <c r="AS297" s="76"/>
      <c r="AT297" s="76"/>
      <c r="AU297" s="76"/>
      <c r="AV297" s="76"/>
      <c r="AW297" s="79"/>
      <c r="AX297" s="79"/>
      <c r="AY297" s="79"/>
      <c r="AZ297" s="79"/>
      <c r="BA297" s="79"/>
      <c r="BB297" s="11"/>
      <c r="BC297" s="11"/>
      <c r="BD297" s="11"/>
      <c r="BE297" s="73"/>
      <c r="BF297" s="73"/>
      <c r="BG297" s="73"/>
      <c r="BH297" s="77"/>
      <c r="BI297" s="77"/>
      <c r="BJ297" s="77"/>
      <c r="BK297" s="77"/>
      <c r="BL297" s="77"/>
      <c r="BM297" s="77"/>
      <c r="BN297" s="158"/>
      <c r="BO297" s="158"/>
    </row>
    <row r="298" spans="1:67" ht="15" x14ac:dyDescent="0.25">
      <c r="A298" s="71"/>
      <c r="B298" s="11"/>
      <c r="C298" s="11"/>
      <c r="D298" s="11"/>
      <c r="E298" s="11"/>
      <c r="F298" s="11"/>
      <c r="G298" s="11"/>
      <c r="H298" s="11"/>
      <c r="I298" s="11"/>
      <c r="J298" s="249"/>
      <c r="K298" s="72"/>
      <c r="L298" s="73"/>
      <c r="M298" s="73"/>
      <c r="N298" s="74"/>
      <c r="O298" s="75"/>
      <c r="P298" s="73"/>
      <c r="Q298" s="76"/>
      <c r="R298" s="76"/>
      <c r="S298" s="76"/>
      <c r="T298" s="76"/>
      <c r="U298" s="76"/>
      <c r="V298" s="76"/>
      <c r="W298" s="76"/>
      <c r="X298" s="76"/>
      <c r="Y298" s="76"/>
      <c r="Z298" s="77"/>
      <c r="AA298" s="77"/>
      <c r="AB298" s="77"/>
      <c r="AC298" s="77"/>
      <c r="AD298" s="77"/>
      <c r="AE298" s="77"/>
      <c r="AF298" s="77"/>
      <c r="AG298" s="77"/>
      <c r="AH298" s="78"/>
      <c r="AI298" s="78"/>
      <c r="AJ298" s="78"/>
      <c r="AK298" s="78"/>
      <c r="AL298" s="78"/>
      <c r="AM298" s="78"/>
      <c r="AN298" s="76"/>
      <c r="AO298" s="76"/>
      <c r="AP298" s="76"/>
      <c r="AQ298" s="76"/>
      <c r="AR298" s="76"/>
      <c r="AS298" s="76"/>
      <c r="AT298" s="76"/>
      <c r="AU298" s="76"/>
      <c r="AV298" s="76"/>
      <c r="AW298" s="79"/>
      <c r="AX298" s="79"/>
      <c r="AY298" s="79"/>
      <c r="AZ298" s="79"/>
      <c r="BA298" s="79"/>
      <c r="BB298" s="11"/>
      <c r="BC298" s="11"/>
      <c r="BD298" s="11"/>
      <c r="BE298" s="73"/>
      <c r="BF298" s="73"/>
      <c r="BG298" s="73"/>
      <c r="BH298" s="77"/>
      <c r="BI298" s="77"/>
      <c r="BJ298" s="77"/>
      <c r="BK298" s="77"/>
      <c r="BL298" s="77"/>
      <c r="BM298" s="77"/>
      <c r="BN298" s="158"/>
      <c r="BO298" s="158"/>
    </row>
    <row r="299" spans="1:67" ht="15" x14ac:dyDescent="0.25">
      <c r="A299" s="71"/>
      <c r="B299" s="11"/>
      <c r="C299" s="11"/>
      <c r="D299" s="11"/>
      <c r="E299" s="11"/>
      <c r="F299" s="11"/>
      <c r="G299" s="11"/>
      <c r="H299" s="11"/>
      <c r="I299" s="11"/>
      <c r="J299" s="249"/>
      <c r="K299" s="72"/>
      <c r="L299" s="73"/>
      <c r="M299" s="73"/>
      <c r="N299" s="74"/>
      <c r="O299" s="75"/>
      <c r="P299" s="73"/>
      <c r="Q299" s="76"/>
      <c r="R299" s="76"/>
      <c r="S299" s="76"/>
      <c r="T299" s="76"/>
      <c r="U299" s="76"/>
      <c r="V299" s="76"/>
      <c r="W299" s="76"/>
      <c r="X299" s="76"/>
      <c r="Y299" s="76"/>
      <c r="Z299" s="77"/>
      <c r="AA299" s="77"/>
      <c r="AB299" s="77"/>
      <c r="AC299" s="77"/>
      <c r="AD299" s="77"/>
      <c r="AE299" s="77"/>
      <c r="AF299" s="77"/>
      <c r="AG299" s="77"/>
      <c r="AH299" s="78"/>
      <c r="AI299" s="78"/>
      <c r="AJ299" s="78"/>
      <c r="AK299" s="78"/>
      <c r="AL299" s="78"/>
      <c r="AM299" s="78"/>
      <c r="AN299" s="76"/>
      <c r="AO299" s="76"/>
      <c r="AP299" s="76"/>
      <c r="AQ299" s="76"/>
      <c r="AR299" s="76"/>
      <c r="AS299" s="76"/>
      <c r="AT299" s="76"/>
      <c r="AU299" s="76"/>
      <c r="AV299" s="76"/>
      <c r="AW299" s="79"/>
      <c r="AX299" s="79"/>
      <c r="AY299" s="79"/>
      <c r="AZ299" s="79"/>
      <c r="BA299" s="79"/>
      <c r="BB299" s="11"/>
      <c r="BC299" s="11"/>
      <c r="BD299" s="11"/>
      <c r="BE299" s="73"/>
      <c r="BF299" s="73"/>
      <c r="BG299" s="73"/>
      <c r="BH299" s="77"/>
      <c r="BI299" s="77"/>
      <c r="BJ299" s="77"/>
      <c r="BK299" s="77"/>
      <c r="BL299" s="77"/>
      <c r="BM299" s="77"/>
      <c r="BN299" s="158"/>
      <c r="BO299" s="158"/>
    </row>
    <row r="300" spans="1:67" ht="15" x14ac:dyDescent="0.25">
      <c r="A300" s="71"/>
      <c r="B300" s="11"/>
      <c r="C300" s="11"/>
      <c r="D300" s="11"/>
      <c r="E300" s="11"/>
      <c r="F300" s="11"/>
      <c r="G300" s="11"/>
      <c r="H300" s="11"/>
      <c r="I300" s="11"/>
      <c r="J300" s="249"/>
      <c r="K300" s="72"/>
      <c r="L300" s="73"/>
      <c r="M300" s="73"/>
      <c r="N300" s="74"/>
      <c r="O300" s="75"/>
      <c r="P300" s="73"/>
      <c r="Q300" s="76"/>
      <c r="R300" s="76"/>
      <c r="S300" s="76"/>
      <c r="T300" s="76"/>
      <c r="U300" s="76"/>
      <c r="V300" s="76"/>
      <c r="W300" s="76"/>
      <c r="X300" s="76"/>
      <c r="Y300" s="76"/>
      <c r="Z300" s="77"/>
      <c r="AA300" s="77"/>
      <c r="AB300" s="77"/>
      <c r="AC300" s="77"/>
      <c r="AD300" s="77"/>
      <c r="AE300" s="77"/>
      <c r="AF300" s="77"/>
      <c r="AG300" s="77"/>
      <c r="AH300" s="78"/>
      <c r="AI300" s="78"/>
      <c r="AJ300" s="78"/>
      <c r="AK300" s="78"/>
      <c r="AL300" s="78"/>
      <c r="AM300" s="78"/>
      <c r="AN300" s="76"/>
      <c r="AO300" s="76"/>
      <c r="AP300" s="76"/>
      <c r="AQ300" s="76"/>
      <c r="AR300" s="76"/>
      <c r="AS300" s="76"/>
      <c r="AT300" s="76"/>
      <c r="AU300" s="76"/>
      <c r="AV300" s="76"/>
      <c r="AW300" s="79"/>
      <c r="AX300" s="79"/>
      <c r="AY300" s="79"/>
      <c r="AZ300" s="79"/>
      <c r="BA300" s="79"/>
      <c r="BB300" s="11"/>
      <c r="BC300" s="11"/>
      <c r="BD300" s="11"/>
      <c r="BE300" s="73"/>
      <c r="BF300" s="73"/>
      <c r="BG300" s="73"/>
      <c r="BH300" s="77"/>
      <c r="BI300" s="77"/>
      <c r="BJ300" s="77"/>
      <c r="BK300" s="77"/>
      <c r="BL300" s="77"/>
      <c r="BM300" s="77"/>
      <c r="BN300" s="158"/>
      <c r="BO300" s="158"/>
    </row>
    <row r="301" spans="1:67" ht="15" x14ac:dyDescent="0.25">
      <c r="A301" s="71"/>
      <c r="B301" s="11"/>
      <c r="C301" s="11"/>
      <c r="D301" s="11"/>
      <c r="E301" s="11"/>
      <c r="F301" s="11"/>
      <c r="G301" s="11"/>
      <c r="H301" s="11"/>
      <c r="I301" s="11"/>
      <c r="J301" s="249"/>
      <c r="K301" s="72"/>
      <c r="L301" s="73"/>
      <c r="M301" s="73"/>
      <c r="N301" s="74"/>
      <c r="O301" s="75"/>
      <c r="P301" s="73"/>
      <c r="Q301" s="76"/>
      <c r="R301" s="76"/>
      <c r="S301" s="76"/>
      <c r="T301" s="76"/>
      <c r="U301" s="76"/>
      <c r="V301" s="76"/>
      <c r="W301" s="76"/>
      <c r="X301" s="76"/>
      <c r="Y301" s="76"/>
      <c r="Z301" s="77"/>
      <c r="AA301" s="77"/>
      <c r="AB301" s="77"/>
      <c r="AC301" s="77"/>
      <c r="AD301" s="77"/>
      <c r="AE301" s="77"/>
      <c r="AF301" s="77"/>
      <c r="AG301" s="77"/>
      <c r="AH301" s="78"/>
      <c r="AI301" s="78"/>
      <c r="AJ301" s="78"/>
      <c r="AK301" s="78"/>
      <c r="AL301" s="78"/>
      <c r="AM301" s="78"/>
      <c r="AN301" s="76"/>
      <c r="AO301" s="76"/>
      <c r="AP301" s="76"/>
      <c r="AQ301" s="76"/>
      <c r="AR301" s="76"/>
      <c r="AS301" s="76"/>
      <c r="AT301" s="76"/>
      <c r="AU301" s="76"/>
      <c r="AV301" s="76"/>
      <c r="AW301" s="79"/>
      <c r="AX301" s="79"/>
      <c r="AY301" s="79"/>
      <c r="AZ301" s="79"/>
      <c r="BA301" s="79"/>
      <c r="BB301" s="11"/>
      <c r="BC301" s="11"/>
      <c r="BD301" s="11"/>
      <c r="BE301" s="73"/>
      <c r="BF301" s="73"/>
      <c r="BG301" s="73"/>
      <c r="BH301" s="77"/>
      <c r="BI301" s="77"/>
      <c r="BJ301" s="77"/>
      <c r="BK301" s="77"/>
      <c r="BL301" s="77"/>
      <c r="BM301" s="77"/>
      <c r="BN301" s="158"/>
      <c r="BO301" s="158"/>
    </row>
    <row r="302" spans="1:67" ht="15" x14ac:dyDescent="0.25">
      <c r="A302" s="71"/>
      <c r="B302" s="11"/>
      <c r="C302" s="11"/>
      <c r="D302" s="11"/>
      <c r="E302" s="11"/>
      <c r="F302" s="11"/>
      <c r="G302" s="11"/>
      <c r="H302" s="11"/>
      <c r="I302" s="11"/>
      <c r="J302" s="249"/>
      <c r="K302" s="72"/>
      <c r="L302" s="73"/>
      <c r="M302" s="73"/>
      <c r="N302" s="74"/>
      <c r="O302" s="75"/>
      <c r="P302" s="73"/>
      <c r="Q302" s="76"/>
      <c r="R302" s="76"/>
      <c r="S302" s="76"/>
      <c r="T302" s="76"/>
      <c r="U302" s="76"/>
      <c r="V302" s="76"/>
      <c r="W302" s="76"/>
      <c r="X302" s="76"/>
      <c r="Y302" s="76"/>
      <c r="Z302" s="77"/>
      <c r="AA302" s="77"/>
      <c r="AB302" s="77"/>
      <c r="AC302" s="77"/>
      <c r="AD302" s="77"/>
      <c r="AE302" s="77"/>
      <c r="AF302" s="77"/>
      <c r="AG302" s="77"/>
      <c r="AH302" s="78"/>
      <c r="AI302" s="78"/>
      <c r="AJ302" s="78"/>
      <c r="AK302" s="78"/>
      <c r="AL302" s="78"/>
      <c r="AM302" s="78"/>
      <c r="AN302" s="76"/>
      <c r="AO302" s="76"/>
      <c r="AP302" s="76"/>
      <c r="AQ302" s="76"/>
      <c r="AR302" s="76"/>
      <c r="AS302" s="76"/>
      <c r="AT302" s="76"/>
      <c r="AU302" s="76"/>
      <c r="AV302" s="76"/>
      <c r="AW302" s="79"/>
      <c r="AX302" s="79"/>
      <c r="AY302" s="79"/>
      <c r="AZ302" s="79"/>
      <c r="BA302" s="79"/>
      <c r="BB302" s="11"/>
      <c r="BC302" s="11"/>
      <c r="BD302" s="11"/>
      <c r="BE302" s="73"/>
      <c r="BF302" s="73"/>
      <c r="BG302" s="73"/>
      <c r="BH302" s="77"/>
      <c r="BI302" s="77"/>
      <c r="BJ302" s="77"/>
      <c r="BK302" s="77"/>
      <c r="BL302" s="77"/>
      <c r="BM302" s="77"/>
      <c r="BN302" s="158"/>
      <c r="BO302" s="158"/>
    </row>
    <row r="303" spans="1:67" ht="15" x14ac:dyDescent="0.25">
      <c r="A303" s="71"/>
      <c r="B303" s="11"/>
      <c r="C303" s="11"/>
      <c r="D303" s="11"/>
      <c r="E303" s="11"/>
      <c r="F303" s="11"/>
      <c r="G303" s="11"/>
      <c r="H303" s="11"/>
      <c r="I303" s="11"/>
      <c r="J303" s="249"/>
      <c r="K303" s="72"/>
      <c r="L303" s="73"/>
      <c r="M303" s="73"/>
      <c r="N303" s="74"/>
      <c r="O303" s="75"/>
      <c r="P303" s="73"/>
      <c r="Q303" s="76"/>
      <c r="R303" s="76"/>
      <c r="S303" s="76"/>
      <c r="T303" s="76"/>
      <c r="U303" s="76"/>
      <c r="V303" s="76"/>
      <c r="W303" s="76"/>
      <c r="X303" s="76"/>
      <c r="Y303" s="76"/>
      <c r="Z303" s="77"/>
      <c r="AA303" s="77"/>
      <c r="AB303" s="77"/>
      <c r="AC303" s="77"/>
      <c r="AD303" s="77"/>
      <c r="AE303" s="77"/>
      <c r="AF303" s="77"/>
      <c r="AG303" s="77"/>
      <c r="AH303" s="78"/>
      <c r="AI303" s="78"/>
      <c r="AJ303" s="78"/>
      <c r="AK303" s="78"/>
      <c r="AL303" s="78"/>
      <c r="AM303" s="78"/>
      <c r="AN303" s="76"/>
      <c r="AO303" s="76"/>
      <c r="AP303" s="76"/>
      <c r="AQ303" s="76"/>
      <c r="AR303" s="76"/>
      <c r="AS303" s="76"/>
      <c r="AT303" s="76"/>
      <c r="AU303" s="76"/>
      <c r="AV303" s="76"/>
      <c r="AW303" s="79"/>
      <c r="AX303" s="79"/>
      <c r="AY303" s="79"/>
      <c r="AZ303" s="79"/>
      <c r="BA303" s="79"/>
      <c r="BB303" s="11"/>
      <c r="BC303" s="11"/>
      <c r="BD303" s="11"/>
      <c r="BE303" s="73"/>
      <c r="BF303" s="73"/>
      <c r="BG303" s="73"/>
      <c r="BH303" s="77"/>
      <c r="BI303" s="77"/>
      <c r="BJ303" s="77"/>
      <c r="BK303" s="77"/>
      <c r="BL303" s="77"/>
      <c r="BM303" s="77"/>
      <c r="BN303" s="158"/>
      <c r="BO303" s="158"/>
    </row>
    <row r="304" spans="1:67" ht="15" x14ac:dyDescent="0.25">
      <c r="A304" s="71"/>
      <c r="B304" s="11"/>
      <c r="C304" s="11"/>
      <c r="D304" s="11"/>
      <c r="E304" s="11"/>
      <c r="F304" s="11"/>
      <c r="G304" s="11"/>
      <c r="H304" s="11"/>
      <c r="I304" s="11"/>
      <c r="J304" s="249"/>
      <c r="K304" s="72"/>
      <c r="L304" s="73"/>
      <c r="M304" s="73"/>
      <c r="N304" s="74"/>
      <c r="O304" s="75"/>
      <c r="P304" s="73"/>
      <c r="Q304" s="76"/>
      <c r="R304" s="76"/>
      <c r="S304" s="76"/>
      <c r="T304" s="76"/>
      <c r="U304" s="76"/>
      <c r="V304" s="76"/>
      <c r="W304" s="76"/>
      <c r="X304" s="76"/>
      <c r="Y304" s="76"/>
      <c r="Z304" s="77"/>
      <c r="AA304" s="77"/>
      <c r="AB304" s="77"/>
      <c r="AC304" s="77"/>
      <c r="AD304" s="77"/>
      <c r="AE304" s="77"/>
      <c r="AF304" s="77"/>
      <c r="AG304" s="77"/>
      <c r="AH304" s="78"/>
      <c r="AI304" s="78"/>
      <c r="AJ304" s="78"/>
      <c r="AK304" s="78"/>
      <c r="AL304" s="78"/>
      <c r="AM304" s="78"/>
      <c r="AN304" s="76"/>
      <c r="AO304" s="76"/>
      <c r="AP304" s="76"/>
      <c r="AQ304" s="76"/>
      <c r="AR304" s="76"/>
      <c r="AS304" s="76"/>
      <c r="AT304" s="76"/>
      <c r="AU304" s="76"/>
      <c r="AV304" s="76"/>
      <c r="AW304" s="79"/>
      <c r="AX304" s="79"/>
      <c r="AY304" s="79"/>
      <c r="AZ304" s="79"/>
      <c r="BA304" s="79"/>
      <c r="BB304" s="11"/>
      <c r="BC304" s="11"/>
      <c r="BD304" s="11"/>
      <c r="BE304" s="73"/>
      <c r="BF304" s="73"/>
      <c r="BG304" s="73"/>
      <c r="BH304" s="77"/>
      <c r="BI304" s="77"/>
      <c r="BJ304" s="77"/>
      <c r="BK304" s="77"/>
      <c r="BL304" s="77"/>
      <c r="BM304" s="77"/>
      <c r="BN304" s="158"/>
      <c r="BO304" s="158"/>
    </row>
    <row r="305" spans="1:67" ht="15" x14ac:dyDescent="0.25">
      <c r="A305" s="71"/>
      <c r="B305" s="11"/>
      <c r="C305" s="11"/>
      <c r="D305" s="11"/>
      <c r="E305" s="11"/>
      <c r="F305" s="11"/>
      <c r="G305" s="11"/>
      <c r="H305" s="11"/>
      <c r="I305" s="11"/>
      <c r="J305" s="249"/>
      <c r="K305" s="72"/>
      <c r="L305" s="73"/>
      <c r="M305" s="73"/>
      <c r="N305" s="74"/>
      <c r="O305" s="75"/>
      <c r="P305" s="73"/>
      <c r="Q305" s="76"/>
      <c r="R305" s="76"/>
      <c r="S305" s="76"/>
      <c r="T305" s="76"/>
      <c r="U305" s="76"/>
      <c r="V305" s="76"/>
      <c r="W305" s="76"/>
      <c r="X305" s="76"/>
      <c r="Y305" s="76"/>
      <c r="Z305" s="77"/>
      <c r="AA305" s="77"/>
      <c r="AB305" s="77"/>
      <c r="AC305" s="77"/>
      <c r="AD305" s="77"/>
      <c r="AE305" s="77"/>
      <c r="AF305" s="77"/>
      <c r="AG305" s="77"/>
      <c r="AH305" s="78"/>
      <c r="AI305" s="78"/>
      <c r="AJ305" s="78"/>
      <c r="AK305" s="78"/>
      <c r="AL305" s="78"/>
      <c r="AM305" s="78"/>
      <c r="AN305" s="76"/>
      <c r="AO305" s="76"/>
      <c r="AP305" s="76"/>
      <c r="AQ305" s="76"/>
      <c r="AR305" s="76"/>
      <c r="AS305" s="76"/>
      <c r="AT305" s="76"/>
      <c r="AU305" s="76"/>
      <c r="AV305" s="76"/>
      <c r="AW305" s="79"/>
      <c r="AX305" s="79"/>
      <c r="AY305" s="79"/>
      <c r="AZ305" s="79"/>
      <c r="BA305" s="79"/>
      <c r="BB305" s="11"/>
      <c r="BC305" s="11"/>
      <c r="BD305" s="11"/>
      <c r="BE305" s="73"/>
      <c r="BF305" s="73"/>
      <c r="BG305" s="73"/>
      <c r="BH305" s="77"/>
      <c r="BI305" s="77"/>
      <c r="BJ305" s="77"/>
      <c r="BK305" s="77"/>
      <c r="BL305" s="77"/>
      <c r="BM305" s="77"/>
      <c r="BN305" s="158"/>
      <c r="BO305" s="158"/>
    </row>
    <row r="306" spans="1:67" ht="15" x14ac:dyDescent="0.25">
      <c r="A306" s="71"/>
      <c r="B306" s="11"/>
      <c r="C306" s="11"/>
      <c r="D306" s="11"/>
      <c r="E306" s="11"/>
      <c r="F306" s="11"/>
      <c r="G306" s="11"/>
      <c r="H306" s="11"/>
      <c r="I306" s="11"/>
      <c r="J306" s="249"/>
      <c r="K306" s="72"/>
      <c r="L306" s="73"/>
      <c r="M306" s="73"/>
      <c r="N306" s="74"/>
      <c r="O306" s="75"/>
      <c r="P306" s="73"/>
      <c r="Q306" s="76"/>
      <c r="R306" s="76"/>
      <c r="S306" s="76"/>
      <c r="T306" s="76"/>
      <c r="U306" s="76"/>
      <c r="V306" s="76"/>
      <c r="W306" s="76"/>
      <c r="X306" s="76"/>
      <c r="Y306" s="76"/>
      <c r="Z306" s="77"/>
      <c r="AA306" s="77"/>
      <c r="AB306" s="77"/>
      <c r="AC306" s="77"/>
      <c r="AD306" s="77"/>
      <c r="AE306" s="77"/>
      <c r="AF306" s="77"/>
      <c r="AG306" s="77"/>
      <c r="AH306" s="78"/>
      <c r="AI306" s="78"/>
      <c r="AJ306" s="78"/>
      <c r="AK306" s="78"/>
      <c r="AL306" s="78"/>
      <c r="AM306" s="78"/>
      <c r="AN306" s="76"/>
      <c r="AO306" s="76"/>
      <c r="AP306" s="76"/>
      <c r="AQ306" s="76"/>
      <c r="AR306" s="76"/>
      <c r="AS306" s="76"/>
      <c r="AT306" s="76"/>
      <c r="AU306" s="76"/>
      <c r="AV306" s="76"/>
      <c r="AW306" s="79"/>
      <c r="AX306" s="79"/>
      <c r="AY306" s="79"/>
      <c r="AZ306" s="79"/>
      <c r="BA306" s="79"/>
      <c r="BB306" s="11"/>
      <c r="BC306" s="11"/>
      <c r="BD306" s="11"/>
      <c r="BE306" s="73"/>
      <c r="BF306" s="73"/>
      <c r="BG306" s="73"/>
      <c r="BH306" s="77"/>
      <c r="BI306" s="77"/>
      <c r="BJ306" s="77"/>
      <c r="BK306" s="77"/>
      <c r="BL306" s="77"/>
      <c r="BM306" s="77"/>
      <c r="BN306" s="158"/>
      <c r="BO306" s="158"/>
    </row>
    <row r="307" spans="1:67" ht="15" x14ac:dyDescent="0.25">
      <c r="A307" s="71"/>
      <c r="B307" s="11"/>
      <c r="C307" s="11"/>
      <c r="D307" s="11"/>
      <c r="E307" s="11"/>
      <c r="F307" s="11"/>
      <c r="G307" s="11"/>
      <c r="H307" s="11"/>
      <c r="I307" s="11"/>
      <c r="J307" s="249"/>
      <c r="K307" s="72"/>
      <c r="L307" s="73"/>
      <c r="M307" s="73"/>
      <c r="N307" s="74"/>
      <c r="O307" s="75"/>
      <c r="P307" s="73"/>
      <c r="Q307" s="76"/>
      <c r="R307" s="76"/>
      <c r="S307" s="76"/>
      <c r="T307" s="76"/>
      <c r="U307" s="76"/>
      <c r="V307" s="76"/>
      <c r="W307" s="76"/>
      <c r="X307" s="76"/>
      <c r="Y307" s="76"/>
      <c r="Z307" s="77"/>
      <c r="AA307" s="77"/>
      <c r="AB307" s="77"/>
      <c r="AC307" s="77"/>
      <c r="AD307" s="77"/>
      <c r="AE307" s="77"/>
      <c r="AF307" s="77"/>
      <c r="AG307" s="77"/>
      <c r="AH307" s="78"/>
      <c r="AI307" s="78"/>
      <c r="AJ307" s="78"/>
      <c r="AK307" s="78"/>
      <c r="AL307" s="78"/>
      <c r="AM307" s="78"/>
      <c r="AN307" s="76"/>
      <c r="AO307" s="76"/>
      <c r="AP307" s="76"/>
      <c r="AQ307" s="76"/>
      <c r="AR307" s="76"/>
      <c r="AS307" s="76"/>
      <c r="AT307" s="76"/>
      <c r="AU307" s="76"/>
      <c r="AV307" s="76"/>
      <c r="AW307" s="79"/>
      <c r="AX307" s="79"/>
      <c r="AY307" s="79"/>
      <c r="AZ307" s="79"/>
      <c r="BA307" s="79"/>
      <c r="BB307" s="11"/>
      <c r="BC307" s="11"/>
      <c r="BD307" s="11"/>
      <c r="BE307" s="73"/>
      <c r="BF307" s="73"/>
      <c r="BG307" s="73"/>
      <c r="BH307" s="77"/>
      <c r="BI307" s="77"/>
      <c r="BJ307" s="77"/>
      <c r="BK307" s="77"/>
      <c r="BL307" s="77"/>
      <c r="BM307" s="77"/>
      <c r="BN307" s="158"/>
      <c r="BO307" s="158"/>
    </row>
    <row r="308" spans="1:67" ht="15" x14ac:dyDescent="0.25">
      <c r="A308" s="71"/>
      <c r="B308" s="11"/>
      <c r="C308" s="11"/>
      <c r="D308" s="11"/>
      <c r="E308" s="11"/>
      <c r="F308" s="11"/>
      <c r="G308" s="11"/>
      <c r="H308" s="11"/>
      <c r="I308" s="11"/>
      <c r="J308" s="249"/>
      <c r="K308" s="72"/>
      <c r="L308" s="73"/>
      <c r="M308" s="73"/>
      <c r="N308" s="74"/>
      <c r="O308" s="75"/>
      <c r="P308" s="73"/>
      <c r="Q308" s="76"/>
      <c r="R308" s="76"/>
      <c r="S308" s="76"/>
      <c r="T308" s="76"/>
      <c r="U308" s="76"/>
      <c r="V308" s="76"/>
      <c r="W308" s="76"/>
      <c r="X308" s="76"/>
      <c r="Y308" s="76"/>
      <c r="Z308" s="77"/>
      <c r="AA308" s="77"/>
      <c r="AB308" s="77"/>
      <c r="AC308" s="77"/>
      <c r="AD308" s="77"/>
      <c r="AE308" s="77"/>
      <c r="AF308" s="77"/>
      <c r="AG308" s="77"/>
      <c r="AH308" s="78"/>
      <c r="AI308" s="78"/>
      <c r="AJ308" s="78"/>
      <c r="AK308" s="78"/>
      <c r="AL308" s="78"/>
      <c r="AM308" s="78"/>
      <c r="AN308" s="76"/>
      <c r="AO308" s="76"/>
      <c r="AP308" s="76"/>
      <c r="AQ308" s="76"/>
      <c r="AR308" s="76"/>
      <c r="AS308" s="76"/>
      <c r="AT308" s="76"/>
      <c r="AU308" s="76"/>
      <c r="AV308" s="76"/>
      <c r="AW308" s="79"/>
      <c r="AX308" s="79"/>
      <c r="AY308" s="79"/>
      <c r="AZ308" s="79"/>
      <c r="BA308" s="79"/>
      <c r="BB308" s="11"/>
      <c r="BC308" s="11"/>
      <c r="BD308" s="11"/>
      <c r="BE308" s="73"/>
      <c r="BF308" s="73"/>
      <c r="BG308" s="73"/>
      <c r="BH308" s="77"/>
      <c r="BI308" s="77"/>
      <c r="BJ308" s="77"/>
      <c r="BK308" s="77"/>
      <c r="BL308" s="77"/>
      <c r="BM308" s="77"/>
      <c r="BN308" s="158"/>
      <c r="BO308" s="158"/>
    </row>
    <row r="309" spans="1:67" ht="15" x14ac:dyDescent="0.25">
      <c r="A309" s="71"/>
      <c r="B309" s="11"/>
      <c r="C309" s="11"/>
      <c r="D309" s="11"/>
      <c r="E309" s="11"/>
      <c r="F309" s="11"/>
      <c r="G309" s="11"/>
      <c r="H309" s="11"/>
      <c r="I309" s="11"/>
      <c r="J309" s="249"/>
      <c r="K309" s="72"/>
      <c r="L309" s="73"/>
      <c r="M309" s="73"/>
      <c r="N309" s="74"/>
      <c r="O309" s="75"/>
      <c r="P309" s="73"/>
      <c r="Q309" s="76"/>
      <c r="R309" s="76"/>
      <c r="S309" s="76"/>
      <c r="T309" s="76"/>
      <c r="U309" s="76"/>
      <c r="V309" s="76"/>
      <c r="W309" s="76"/>
      <c r="X309" s="76"/>
      <c r="Y309" s="76"/>
      <c r="Z309" s="77"/>
      <c r="AA309" s="77"/>
      <c r="AB309" s="77"/>
      <c r="AC309" s="77"/>
      <c r="AD309" s="77"/>
      <c r="AE309" s="77"/>
      <c r="AF309" s="77"/>
      <c r="AG309" s="77"/>
      <c r="AH309" s="78"/>
      <c r="AI309" s="78"/>
      <c r="AJ309" s="78"/>
      <c r="AK309" s="78"/>
      <c r="AL309" s="78"/>
      <c r="AM309" s="78"/>
      <c r="AN309" s="76"/>
      <c r="AO309" s="76"/>
      <c r="AP309" s="76"/>
      <c r="AQ309" s="76"/>
      <c r="AR309" s="76"/>
      <c r="AS309" s="76"/>
      <c r="AT309" s="76"/>
      <c r="AU309" s="76"/>
      <c r="AV309" s="76"/>
      <c r="AW309" s="79"/>
      <c r="AX309" s="79"/>
      <c r="AY309" s="79"/>
      <c r="AZ309" s="79"/>
      <c r="BA309" s="79"/>
      <c r="BB309" s="11"/>
      <c r="BC309" s="11"/>
      <c r="BD309" s="11"/>
      <c r="BE309" s="73"/>
      <c r="BF309" s="73"/>
      <c r="BG309" s="73"/>
      <c r="BH309" s="77"/>
      <c r="BI309" s="77"/>
      <c r="BJ309" s="77"/>
      <c r="BK309" s="77"/>
      <c r="BL309" s="77"/>
      <c r="BM309" s="77"/>
      <c r="BN309" s="158"/>
      <c r="BO309" s="158"/>
    </row>
    <row r="310" spans="1:67" ht="15" x14ac:dyDescent="0.25">
      <c r="A310" s="71"/>
      <c r="B310" s="11"/>
      <c r="C310" s="11"/>
      <c r="D310" s="11"/>
      <c r="E310" s="11"/>
      <c r="F310" s="11"/>
      <c r="G310" s="11"/>
      <c r="H310" s="11"/>
      <c r="I310" s="11"/>
      <c r="J310" s="249"/>
      <c r="K310" s="72"/>
      <c r="L310" s="73"/>
      <c r="M310" s="73"/>
      <c r="N310" s="74"/>
      <c r="O310" s="75"/>
      <c r="P310" s="73"/>
      <c r="Q310" s="76"/>
      <c r="R310" s="76"/>
      <c r="S310" s="76"/>
      <c r="T310" s="76"/>
      <c r="U310" s="76"/>
      <c r="V310" s="76"/>
      <c r="W310" s="76"/>
      <c r="X310" s="76"/>
      <c r="Y310" s="76"/>
      <c r="Z310" s="77"/>
      <c r="AA310" s="77"/>
      <c r="AB310" s="77"/>
      <c r="AC310" s="77"/>
      <c r="AD310" s="77"/>
      <c r="AE310" s="77"/>
      <c r="AF310" s="77"/>
      <c r="AG310" s="77"/>
      <c r="AH310" s="78"/>
      <c r="AI310" s="78"/>
      <c r="AJ310" s="78"/>
      <c r="AK310" s="78"/>
      <c r="AL310" s="78"/>
      <c r="AM310" s="78"/>
      <c r="AN310" s="76"/>
      <c r="AO310" s="76"/>
      <c r="AP310" s="76"/>
      <c r="AQ310" s="76"/>
      <c r="AR310" s="76"/>
      <c r="AS310" s="76"/>
      <c r="AT310" s="76"/>
      <c r="AU310" s="76"/>
      <c r="AV310" s="76"/>
      <c r="AW310" s="79"/>
      <c r="AX310" s="79"/>
      <c r="AY310" s="79"/>
      <c r="AZ310" s="79"/>
      <c r="BA310" s="79"/>
      <c r="BB310" s="11"/>
      <c r="BC310" s="11"/>
      <c r="BD310" s="11"/>
      <c r="BE310" s="73"/>
      <c r="BF310" s="73"/>
      <c r="BG310" s="73"/>
      <c r="BH310" s="77"/>
      <c r="BI310" s="77"/>
      <c r="BJ310" s="77"/>
      <c r="BK310" s="77"/>
      <c r="BL310" s="77"/>
      <c r="BM310" s="77"/>
      <c r="BN310" s="158"/>
      <c r="BO310" s="158"/>
    </row>
    <row r="311" spans="1:67" ht="15" x14ac:dyDescent="0.25">
      <c r="A311" s="71"/>
      <c r="B311" s="11"/>
      <c r="C311" s="11"/>
      <c r="D311" s="11"/>
      <c r="E311" s="11"/>
      <c r="F311" s="11"/>
      <c r="G311" s="11"/>
      <c r="H311" s="11"/>
      <c r="I311" s="11"/>
      <c r="J311" s="249"/>
      <c r="K311" s="72"/>
      <c r="L311" s="73"/>
      <c r="M311" s="73"/>
      <c r="N311" s="74"/>
      <c r="O311" s="75"/>
      <c r="P311" s="73"/>
      <c r="Q311" s="76"/>
      <c r="R311" s="76"/>
      <c r="S311" s="76"/>
      <c r="T311" s="76"/>
      <c r="U311" s="76"/>
      <c r="V311" s="76"/>
      <c r="W311" s="76"/>
      <c r="X311" s="76"/>
      <c r="Y311" s="76"/>
      <c r="Z311" s="77"/>
      <c r="AA311" s="77"/>
      <c r="AB311" s="77"/>
      <c r="AC311" s="77"/>
      <c r="AD311" s="77"/>
      <c r="AE311" s="77"/>
      <c r="AF311" s="77"/>
      <c r="AG311" s="77"/>
      <c r="AH311" s="78"/>
      <c r="AI311" s="78"/>
      <c r="AJ311" s="78"/>
      <c r="AK311" s="78"/>
      <c r="AL311" s="78"/>
      <c r="AM311" s="78"/>
      <c r="AN311" s="76"/>
      <c r="AO311" s="76"/>
      <c r="AP311" s="76"/>
      <c r="AQ311" s="76"/>
      <c r="AR311" s="76"/>
      <c r="AS311" s="76"/>
      <c r="AT311" s="76"/>
      <c r="AU311" s="76"/>
      <c r="AV311" s="76"/>
      <c r="AW311" s="79"/>
      <c r="AX311" s="79"/>
      <c r="AY311" s="79"/>
      <c r="AZ311" s="79"/>
      <c r="BA311" s="79"/>
      <c r="BB311" s="11"/>
      <c r="BC311" s="11"/>
      <c r="BD311" s="11"/>
      <c r="BE311" s="73"/>
      <c r="BF311" s="73"/>
      <c r="BG311" s="73"/>
      <c r="BH311" s="77"/>
      <c r="BI311" s="77"/>
      <c r="BJ311" s="77"/>
      <c r="BK311" s="77"/>
      <c r="BL311" s="77"/>
      <c r="BM311" s="77"/>
      <c r="BN311" s="158"/>
      <c r="BO311" s="158"/>
    </row>
    <row r="312" spans="1:67" ht="15" x14ac:dyDescent="0.25">
      <c r="A312" s="71"/>
      <c r="B312" s="11"/>
      <c r="C312" s="11"/>
      <c r="D312" s="11"/>
      <c r="E312" s="11"/>
      <c r="F312" s="11"/>
      <c r="G312" s="11"/>
      <c r="H312" s="11"/>
      <c r="I312" s="11"/>
      <c r="J312" s="249"/>
      <c r="K312" s="72"/>
      <c r="L312" s="73"/>
      <c r="M312" s="73"/>
      <c r="N312" s="74"/>
      <c r="O312" s="75"/>
      <c r="P312" s="73"/>
      <c r="Q312" s="76"/>
      <c r="R312" s="76"/>
      <c r="S312" s="76"/>
      <c r="T312" s="76"/>
      <c r="U312" s="76"/>
      <c r="V312" s="76"/>
      <c r="W312" s="76"/>
      <c r="X312" s="76"/>
      <c r="Y312" s="76"/>
      <c r="Z312" s="77"/>
      <c r="AA312" s="77"/>
      <c r="AB312" s="77"/>
      <c r="AC312" s="77"/>
      <c r="AD312" s="77"/>
      <c r="AE312" s="77"/>
      <c r="AF312" s="77"/>
      <c r="AG312" s="77"/>
      <c r="AH312" s="78"/>
      <c r="AI312" s="78"/>
      <c r="AJ312" s="78"/>
      <c r="AK312" s="78"/>
      <c r="AL312" s="78"/>
      <c r="AM312" s="78"/>
      <c r="AN312" s="76"/>
      <c r="AO312" s="76"/>
      <c r="AP312" s="76"/>
      <c r="AQ312" s="76"/>
      <c r="AR312" s="76"/>
      <c r="AS312" s="76"/>
      <c r="AT312" s="76"/>
      <c r="AU312" s="76"/>
      <c r="AV312" s="76"/>
      <c r="AW312" s="79"/>
      <c r="AX312" s="79"/>
      <c r="AY312" s="79"/>
      <c r="AZ312" s="79"/>
      <c r="BA312" s="79"/>
      <c r="BB312" s="11"/>
      <c r="BC312" s="11"/>
      <c r="BD312" s="11"/>
      <c r="BE312" s="73"/>
      <c r="BF312" s="73"/>
      <c r="BG312" s="73"/>
      <c r="BH312" s="77"/>
      <c r="BI312" s="77"/>
      <c r="BJ312" s="77"/>
      <c r="BK312" s="77"/>
      <c r="BL312" s="77"/>
      <c r="BM312" s="77"/>
      <c r="BN312" s="158"/>
      <c r="BO312" s="158"/>
    </row>
    <row r="313" spans="1:67" ht="15" x14ac:dyDescent="0.25">
      <c r="A313" s="71"/>
      <c r="B313" s="11"/>
      <c r="C313" s="11"/>
      <c r="D313" s="11"/>
      <c r="E313" s="11"/>
      <c r="F313" s="11"/>
      <c r="G313" s="11"/>
      <c r="H313" s="11"/>
      <c r="I313" s="11"/>
      <c r="J313" s="249"/>
      <c r="K313" s="72"/>
      <c r="L313" s="73"/>
      <c r="M313" s="73"/>
      <c r="N313" s="74"/>
      <c r="O313" s="75"/>
      <c r="P313" s="73"/>
      <c r="Q313" s="76"/>
      <c r="R313" s="76"/>
      <c r="S313" s="76"/>
      <c r="T313" s="76"/>
      <c r="U313" s="76"/>
      <c r="V313" s="76"/>
      <c r="W313" s="76"/>
      <c r="X313" s="76"/>
      <c r="Y313" s="76"/>
      <c r="Z313" s="77"/>
      <c r="AA313" s="77"/>
      <c r="AB313" s="77"/>
      <c r="AC313" s="77"/>
      <c r="AD313" s="77"/>
      <c r="AE313" s="77"/>
      <c r="AF313" s="77"/>
      <c r="AG313" s="77"/>
      <c r="AH313" s="78"/>
      <c r="AI313" s="78"/>
      <c r="AJ313" s="78"/>
      <c r="AK313" s="78"/>
      <c r="AL313" s="78"/>
      <c r="AM313" s="78"/>
      <c r="AN313" s="76"/>
      <c r="AO313" s="76"/>
      <c r="AP313" s="76"/>
      <c r="AQ313" s="76"/>
      <c r="AR313" s="76"/>
      <c r="AS313" s="76"/>
      <c r="AT313" s="76"/>
      <c r="AU313" s="76"/>
      <c r="AV313" s="76"/>
      <c r="AW313" s="79"/>
      <c r="AX313" s="79"/>
      <c r="AY313" s="79"/>
      <c r="AZ313" s="79"/>
      <c r="BA313" s="79"/>
      <c r="BB313" s="11"/>
      <c r="BC313" s="11"/>
      <c r="BD313" s="11"/>
      <c r="BE313" s="73"/>
      <c r="BF313" s="73"/>
      <c r="BG313" s="73"/>
      <c r="BH313" s="77"/>
      <c r="BI313" s="77"/>
      <c r="BJ313" s="77"/>
      <c r="BK313" s="77"/>
      <c r="BL313" s="77"/>
      <c r="BM313" s="77"/>
      <c r="BN313" s="158"/>
      <c r="BO313" s="158"/>
    </row>
    <row r="314" spans="1:67" ht="15" x14ac:dyDescent="0.25">
      <c r="A314" s="71"/>
      <c r="B314" s="11"/>
      <c r="C314" s="11"/>
      <c r="D314" s="11"/>
      <c r="E314" s="11"/>
      <c r="F314" s="11"/>
      <c r="G314" s="11"/>
      <c r="H314" s="11"/>
      <c r="I314" s="11"/>
      <c r="J314" s="249"/>
      <c r="K314" s="72"/>
      <c r="L314" s="73"/>
      <c r="M314" s="73"/>
      <c r="N314" s="74"/>
      <c r="O314" s="75"/>
      <c r="P314" s="73"/>
      <c r="Q314" s="76"/>
      <c r="R314" s="76"/>
      <c r="S314" s="76"/>
      <c r="T314" s="76"/>
      <c r="U314" s="76"/>
      <c r="V314" s="76"/>
      <c r="W314" s="76"/>
      <c r="X314" s="76"/>
      <c r="Y314" s="76"/>
      <c r="Z314" s="77"/>
      <c r="AA314" s="77"/>
      <c r="AB314" s="77"/>
      <c r="AC314" s="77"/>
      <c r="AD314" s="77"/>
      <c r="AE314" s="77"/>
      <c r="AF314" s="77"/>
      <c r="AG314" s="77"/>
      <c r="AH314" s="78"/>
      <c r="AI314" s="78"/>
      <c r="AJ314" s="78"/>
      <c r="AK314" s="78"/>
      <c r="AL314" s="78"/>
      <c r="AM314" s="78"/>
      <c r="AN314" s="76"/>
      <c r="AO314" s="76"/>
      <c r="AP314" s="76"/>
      <c r="AQ314" s="76"/>
      <c r="AR314" s="76"/>
      <c r="AS314" s="76"/>
      <c r="AT314" s="76"/>
      <c r="AU314" s="76"/>
      <c r="AV314" s="76"/>
      <c r="AW314" s="79"/>
      <c r="AX314" s="79"/>
      <c r="AY314" s="79"/>
      <c r="AZ314" s="79"/>
      <c r="BA314" s="79"/>
      <c r="BB314" s="11"/>
      <c r="BC314" s="11"/>
      <c r="BD314" s="11"/>
      <c r="BE314" s="73"/>
      <c r="BF314" s="73"/>
      <c r="BG314" s="73"/>
      <c r="BH314" s="77"/>
      <c r="BI314" s="77"/>
      <c r="BJ314" s="77"/>
      <c r="BK314" s="77"/>
      <c r="BL314" s="77"/>
      <c r="BM314" s="77"/>
      <c r="BN314" s="158"/>
      <c r="BO314" s="158"/>
    </row>
    <row r="315" spans="1:67" ht="15" x14ac:dyDescent="0.25">
      <c r="A315" s="71"/>
      <c r="B315" s="11"/>
      <c r="C315" s="11"/>
      <c r="D315" s="11"/>
      <c r="E315" s="11"/>
      <c r="F315" s="11"/>
      <c r="G315" s="11"/>
      <c r="H315" s="11"/>
      <c r="I315" s="11"/>
      <c r="J315" s="249"/>
      <c r="K315" s="72"/>
      <c r="L315" s="73"/>
      <c r="M315" s="73"/>
      <c r="N315" s="74"/>
      <c r="O315" s="75"/>
      <c r="P315" s="73"/>
      <c r="Q315" s="76"/>
      <c r="R315" s="76"/>
      <c r="S315" s="76"/>
      <c r="T315" s="76"/>
      <c r="U315" s="76"/>
      <c r="V315" s="76"/>
      <c r="W315" s="76"/>
      <c r="X315" s="76"/>
      <c r="Y315" s="76"/>
      <c r="Z315" s="77"/>
      <c r="AA315" s="77"/>
      <c r="AB315" s="77"/>
      <c r="AC315" s="77"/>
      <c r="AD315" s="77"/>
      <c r="AE315" s="77"/>
      <c r="AF315" s="77"/>
      <c r="AG315" s="77"/>
      <c r="AH315" s="78"/>
      <c r="AI315" s="78"/>
      <c r="AJ315" s="78"/>
      <c r="AK315" s="78"/>
      <c r="AL315" s="78"/>
      <c r="AM315" s="78"/>
      <c r="AN315" s="76"/>
      <c r="AO315" s="76"/>
      <c r="AP315" s="76"/>
      <c r="AQ315" s="76"/>
      <c r="AR315" s="76"/>
      <c r="AS315" s="76"/>
      <c r="AT315" s="76"/>
      <c r="AU315" s="76"/>
      <c r="AV315" s="76"/>
      <c r="AW315" s="79"/>
      <c r="AX315" s="79"/>
      <c r="AY315" s="79"/>
      <c r="AZ315" s="79"/>
      <c r="BA315" s="79"/>
      <c r="BB315" s="11"/>
      <c r="BC315" s="11"/>
      <c r="BD315" s="11"/>
      <c r="BE315" s="73"/>
      <c r="BF315" s="73"/>
      <c r="BG315" s="73"/>
      <c r="BH315" s="77"/>
      <c r="BI315" s="77"/>
      <c r="BJ315" s="77"/>
      <c r="BK315" s="77"/>
      <c r="BL315" s="77"/>
      <c r="BM315" s="77"/>
      <c r="BN315" s="158"/>
      <c r="BO315" s="158"/>
    </row>
    <row r="316" spans="1:67" ht="15" x14ac:dyDescent="0.25">
      <c r="A316" s="71"/>
      <c r="B316" s="11"/>
      <c r="C316" s="11"/>
      <c r="D316" s="11"/>
      <c r="E316" s="11"/>
      <c r="F316" s="11"/>
      <c r="G316" s="11"/>
      <c r="H316" s="11"/>
      <c r="I316" s="11"/>
      <c r="J316" s="249"/>
      <c r="K316" s="72"/>
      <c r="L316" s="73"/>
      <c r="M316" s="73"/>
      <c r="N316" s="74"/>
      <c r="O316" s="75"/>
      <c r="P316" s="73"/>
      <c r="Q316" s="76"/>
      <c r="R316" s="76"/>
      <c r="S316" s="76"/>
      <c r="T316" s="76"/>
      <c r="U316" s="76"/>
      <c r="V316" s="76"/>
      <c r="W316" s="76"/>
      <c r="X316" s="76"/>
      <c r="Y316" s="76"/>
      <c r="Z316" s="77"/>
      <c r="AA316" s="77"/>
      <c r="AB316" s="77"/>
      <c r="AC316" s="77"/>
      <c r="AD316" s="77"/>
      <c r="AE316" s="77"/>
      <c r="AF316" s="77"/>
      <c r="AG316" s="77"/>
      <c r="AH316" s="78"/>
      <c r="AI316" s="78"/>
      <c r="AJ316" s="78"/>
      <c r="AK316" s="78"/>
      <c r="AL316" s="78"/>
      <c r="AM316" s="78"/>
      <c r="AN316" s="76"/>
      <c r="AO316" s="76"/>
      <c r="AP316" s="76"/>
      <c r="AQ316" s="76"/>
      <c r="AR316" s="76"/>
      <c r="AS316" s="76"/>
      <c r="AT316" s="76"/>
      <c r="AU316" s="76"/>
      <c r="AV316" s="76"/>
      <c r="AW316" s="79"/>
      <c r="AX316" s="79"/>
      <c r="AY316" s="79"/>
      <c r="AZ316" s="79"/>
      <c r="BA316" s="79"/>
      <c r="BB316" s="11"/>
      <c r="BC316" s="11"/>
      <c r="BD316" s="11"/>
      <c r="BE316" s="73"/>
      <c r="BF316" s="73"/>
      <c r="BG316" s="73"/>
      <c r="BH316" s="77"/>
      <c r="BI316" s="77"/>
      <c r="BJ316" s="77"/>
      <c r="BK316" s="77"/>
      <c r="BL316" s="77"/>
      <c r="BM316" s="77"/>
      <c r="BN316" s="158"/>
      <c r="BO316" s="158"/>
    </row>
    <row r="317" spans="1:67" ht="15" x14ac:dyDescent="0.25">
      <c r="A317" s="71"/>
      <c r="B317" s="11"/>
      <c r="C317" s="11"/>
      <c r="D317" s="11"/>
      <c r="E317" s="11"/>
      <c r="F317" s="11"/>
      <c r="G317" s="11"/>
      <c r="H317" s="11"/>
      <c r="I317" s="11"/>
      <c r="J317" s="249"/>
      <c r="K317" s="72"/>
      <c r="L317" s="73"/>
      <c r="M317" s="73"/>
      <c r="N317" s="74"/>
      <c r="O317" s="75"/>
      <c r="P317" s="73"/>
      <c r="Q317" s="76"/>
      <c r="R317" s="76"/>
      <c r="S317" s="76"/>
      <c r="T317" s="76"/>
      <c r="U317" s="76"/>
      <c r="V317" s="76"/>
      <c r="W317" s="76"/>
      <c r="X317" s="76"/>
      <c r="Y317" s="76"/>
      <c r="Z317" s="77"/>
      <c r="AA317" s="77"/>
      <c r="AB317" s="77"/>
      <c r="AC317" s="77"/>
      <c r="AD317" s="77"/>
      <c r="AE317" s="77"/>
      <c r="AF317" s="77"/>
      <c r="AG317" s="77"/>
      <c r="AH317" s="78"/>
      <c r="AI317" s="78"/>
      <c r="AJ317" s="78"/>
      <c r="AK317" s="78"/>
      <c r="AL317" s="78"/>
      <c r="AM317" s="78"/>
      <c r="AN317" s="76"/>
      <c r="AO317" s="76"/>
      <c r="AP317" s="76"/>
      <c r="AQ317" s="76"/>
      <c r="AR317" s="76"/>
      <c r="AS317" s="76"/>
      <c r="AT317" s="76"/>
      <c r="AU317" s="76"/>
      <c r="AV317" s="76"/>
      <c r="AW317" s="79"/>
      <c r="AX317" s="79"/>
      <c r="AY317" s="79"/>
      <c r="AZ317" s="79"/>
      <c r="BA317" s="79"/>
      <c r="BB317" s="11"/>
      <c r="BC317" s="11"/>
      <c r="BD317" s="11"/>
      <c r="BE317" s="73"/>
      <c r="BF317" s="73"/>
      <c r="BG317" s="73"/>
      <c r="BH317" s="77"/>
      <c r="BI317" s="77"/>
      <c r="BJ317" s="77"/>
      <c r="BK317" s="77"/>
      <c r="BL317" s="77"/>
      <c r="BM317" s="77"/>
      <c r="BN317" s="158"/>
      <c r="BO317" s="158"/>
    </row>
    <row r="318" spans="1:67" ht="15" x14ac:dyDescent="0.25">
      <c r="A318" s="71"/>
      <c r="B318" s="11"/>
      <c r="C318" s="11"/>
      <c r="D318" s="11"/>
      <c r="E318" s="11"/>
      <c r="F318" s="11"/>
      <c r="G318" s="11"/>
      <c r="H318" s="11"/>
      <c r="I318" s="11"/>
      <c r="J318" s="249"/>
      <c r="K318" s="72"/>
      <c r="L318" s="73"/>
      <c r="M318" s="73"/>
      <c r="N318" s="74"/>
      <c r="O318" s="75"/>
      <c r="P318" s="73"/>
      <c r="Q318" s="76"/>
      <c r="R318" s="76"/>
      <c r="S318" s="76"/>
      <c r="T318" s="76"/>
      <c r="U318" s="76"/>
      <c r="V318" s="76"/>
      <c r="W318" s="76"/>
      <c r="X318" s="76"/>
      <c r="Y318" s="76"/>
      <c r="Z318" s="77"/>
      <c r="AA318" s="77"/>
      <c r="AB318" s="77"/>
      <c r="AC318" s="77"/>
      <c r="AD318" s="77"/>
      <c r="AE318" s="77"/>
      <c r="AF318" s="77"/>
      <c r="AG318" s="77"/>
      <c r="AH318" s="78"/>
      <c r="AI318" s="78"/>
      <c r="AJ318" s="78"/>
      <c r="AK318" s="78"/>
      <c r="AL318" s="78"/>
      <c r="AM318" s="78"/>
      <c r="AN318" s="76"/>
      <c r="AO318" s="76"/>
      <c r="AP318" s="76"/>
      <c r="AQ318" s="76"/>
      <c r="AR318" s="76"/>
      <c r="AS318" s="76"/>
      <c r="AT318" s="76"/>
      <c r="AU318" s="76"/>
      <c r="AV318" s="76"/>
      <c r="AW318" s="79"/>
      <c r="AX318" s="79"/>
      <c r="AY318" s="79"/>
      <c r="AZ318" s="79"/>
      <c r="BA318" s="79"/>
      <c r="BB318" s="11"/>
      <c r="BC318" s="11"/>
      <c r="BD318" s="11"/>
      <c r="BE318" s="73"/>
      <c r="BF318" s="73"/>
      <c r="BG318" s="73"/>
      <c r="BH318" s="77"/>
      <c r="BI318" s="77"/>
      <c r="BJ318" s="77"/>
      <c r="BK318" s="77"/>
      <c r="BL318" s="77"/>
      <c r="BM318" s="77"/>
      <c r="BN318" s="158"/>
      <c r="BO318" s="158"/>
    </row>
    <row r="319" spans="1:67" ht="15" x14ac:dyDescent="0.25">
      <c r="A319" s="71"/>
      <c r="B319" s="11"/>
      <c r="C319" s="11"/>
      <c r="D319" s="11"/>
      <c r="E319" s="11"/>
      <c r="F319" s="11"/>
      <c r="G319" s="11"/>
      <c r="H319" s="11"/>
      <c r="I319" s="11"/>
      <c r="J319" s="249"/>
      <c r="K319" s="72"/>
      <c r="L319" s="73"/>
      <c r="M319" s="73"/>
      <c r="N319" s="74"/>
      <c r="O319" s="75"/>
      <c r="P319" s="73"/>
      <c r="Q319" s="76"/>
      <c r="R319" s="76"/>
      <c r="S319" s="76"/>
      <c r="T319" s="76"/>
      <c r="U319" s="76"/>
      <c r="V319" s="76"/>
      <c r="W319" s="76"/>
      <c r="X319" s="76"/>
      <c r="Y319" s="76"/>
      <c r="Z319" s="77"/>
      <c r="AA319" s="77"/>
      <c r="AB319" s="77"/>
      <c r="AC319" s="77"/>
      <c r="AD319" s="77"/>
      <c r="AE319" s="77"/>
      <c r="AF319" s="77"/>
      <c r="AG319" s="77"/>
      <c r="AH319" s="78"/>
      <c r="AI319" s="78"/>
      <c r="AJ319" s="78"/>
      <c r="AK319" s="78"/>
      <c r="AL319" s="78"/>
      <c r="AM319" s="78"/>
      <c r="AN319" s="76"/>
      <c r="AO319" s="76"/>
      <c r="AP319" s="76"/>
      <c r="AQ319" s="76"/>
      <c r="AR319" s="76"/>
      <c r="AS319" s="76"/>
      <c r="AT319" s="76"/>
      <c r="AU319" s="76"/>
      <c r="AV319" s="76"/>
      <c r="AW319" s="79"/>
      <c r="AX319" s="79"/>
      <c r="AY319" s="79"/>
      <c r="AZ319" s="79"/>
      <c r="BA319" s="79"/>
      <c r="BB319" s="11"/>
      <c r="BC319" s="11"/>
      <c r="BD319" s="11"/>
      <c r="BE319" s="73"/>
      <c r="BF319" s="73"/>
      <c r="BG319" s="73"/>
      <c r="BH319" s="77"/>
      <c r="BI319" s="77"/>
      <c r="BJ319" s="77"/>
      <c r="BK319" s="77"/>
      <c r="BL319" s="77"/>
      <c r="BM319" s="77"/>
      <c r="BN319" s="158"/>
      <c r="BO319" s="158"/>
    </row>
    <row r="320" spans="1:67" ht="15" x14ac:dyDescent="0.25">
      <c r="A320" s="71"/>
      <c r="B320" s="11"/>
      <c r="C320" s="11"/>
      <c r="D320" s="11"/>
      <c r="E320" s="11"/>
      <c r="F320" s="11"/>
      <c r="G320" s="11"/>
      <c r="H320" s="11"/>
      <c r="I320" s="11"/>
      <c r="J320" s="249"/>
      <c r="K320" s="72"/>
      <c r="L320" s="73"/>
      <c r="M320" s="73"/>
      <c r="N320" s="74"/>
      <c r="O320" s="75"/>
      <c r="P320" s="73"/>
      <c r="Q320" s="76"/>
      <c r="R320" s="76"/>
      <c r="S320" s="76"/>
      <c r="T320" s="76"/>
      <c r="U320" s="76"/>
      <c r="V320" s="76"/>
      <c r="W320" s="76"/>
      <c r="X320" s="76"/>
      <c r="Y320" s="76"/>
      <c r="Z320" s="77"/>
      <c r="AA320" s="77"/>
      <c r="AB320" s="77"/>
      <c r="AC320" s="77"/>
      <c r="AD320" s="77"/>
      <c r="AE320" s="77"/>
      <c r="AF320" s="77"/>
      <c r="AG320" s="77"/>
      <c r="AH320" s="78"/>
      <c r="AI320" s="78"/>
      <c r="AJ320" s="78"/>
      <c r="AK320" s="78"/>
      <c r="AL320" s="78"/>
      <c r="AM320" s="78"/>
      <c r="AN320" s="76"/>
      <c r="AO320" s="76"/>
      <c r="AP320" s="76"/>
      <c r="AQ320" s="76"/>
      <c r="AR320" s="76"/>
      <c r="AS320" s="76"/>
      <c r="AT320" s="76"/>
      <c r="AU320" s="76"/>
      <c r="AV320" s="76"/>
      <c r="AW320" s="79"/>
      <c r="AX320" s="79"/>
      <c r="AY320" s="79"/>
      <c r="AZ320" s="79"/>
      <c r="BA320" s="79"/>
      <c r="BB320" s="11"/>
      <c r="BC320" s="11"/>
      <c r="BD320" s="11"/>
      <c r="BE320" s="73"/>
      <c r="BF320" s="73"/>
      <c r="BG320" s="73"/>
      <c r="BH320" s="77"/>
      <c r="BI320" s="77"/>
      <c r="BJ320" s="77"/>
      <c r="BK320" s="77"/>
      <c r="BL320" s="77"/>
      <c r="BM320" s="77"/>
      <c r="BN320" s="158"/>
      <c r="BO320" s="158"/>
    </row>
    <row r="321" spans="1:67" ht="15" x14ac:dyDescent="0.25">
      <c r="A321" s="71"/>
      <c r="B321" s="11"/>
      <c r="C321" s="11"/>
      <c r="D321" s="11"/>
      <c r="E321" s="11"/>
      <c r="F321" s="11"/>
      <c r="G321" s="11"/>
      <c r="H321" s="11"/>
      <c r="I321" s="11"/>
      <c r="J321" s="249"/>
      <c r="K321" s="72"/>
      <c r="L321" s="73"/>
      <c r="M321" s="73"/>
      <c r="N321" s="74"/>
      <c r="O321" s="75"/>
      <c r="P321" s="73"/>
      <c r="Q321" s="76"/>
      <c r="R321" s="76"/>
      <c r="S321" s="76"/>
      <c r="T321" s="76"/>
      <c r="U321" s="76"/>
      <c r="V321" s="76"/>
      <c r="W321" s="76"/>
      <c r="X321" s="76"/>
      <c r="Y321" s="76"/>
      <c r="Z321" s="77"/>
      <c r="AA321" s="77"/>
      <c r="AB321" s="77"/>
      <c r="AC321" s="77"/>
      <c r="AD321" s="77"/>
      <c r="AE321" s="77"/>
      <c r="AF321" s="77"/>
      <c r="AG321" s="77"/>
      <c r="AH321" s="78"/>
      <c r="AI321" s="78"/>
      <c r="AJ321" s="78"/>
      <c r="AK321" s="78"/>
      <c r="AL321" s="78"/>
      <c r="AM321" s="78"/>
      <c r="AN321" s="76"/>
      <c r="AO321" s="76"/>
      <c r="AP321" s="76"/>
      <c r="AQ321" s="76"/>
      <c r="AR321" s="76"/>
      <c r="AS321" s="76"/>
      <c r="AT321" s="76"/>
      <c r="AU321" s="76"/>
      <c r="AV321" s="76"/>
      <c r="AW321" s="79"/>
      <c r="AX321" s="79"/>
      <c r="AY321" s="79"/>
      <c r="AZ321" s="79"/>
      <c r="BA321" s="79"/>
      <c r="BB321" s="11"/>
      <c r="BC321" s="11"/>
      <c r="BD321" s="11"/>
      <c r="BE321" s="73"/>
      <c r="BF321" s="73"/>
      <c r="BG321" s="73"/>
      <c r="BH321" s="77"/>
      <c r="BI321" s="77"/>
      <c r="BJ321" s="77"/>
      <c r="BK321" s="77"/>
      <c r="BL321" s="77"/>
      <c r="BM321" s="77"/>
      <c r="BN321" s="158"/>
      <c r="BO321" s="158"/>
    </row>
    <row r="322" spans="1:67" ht="15" x14ac:dyDescent="0.25">
      <c r="A322" s="71"/>
      <c r="B322" s="11"/>
      <c r="C322" s="11"/>
      <c r="D322" s="11"/>
      <c r="E322" s="11"/>
      <c r="F322" s="11"/>
      <c r="G322" s="11"/>
      <c r="H322" s="11"/>
      <c r="I322" s="11"/>
      <c r="J322" s="249"/>
      <c r="K322" s="72"/>
      <c r="L322" s="73"/>
      <c r="M322" s="73"/>
      <c r="N322" s="74"/>
      <c r="O322" s="75"/>
      <c r="P322" s="73"/>
      <c r="Q322" s="76"/>
      <c r="R322" s="76"/>
      <c r="S322" s="76"/>
      <c r="T322" s="76"/>
      <c r="U322" s="76"/>
      <c r="V322" s="76"/>
      <c r="W322" s="76"/>
      <c r="X322" s="76"/>
      <c r="Y322" s="76"/>
      <c r="Z322" s="77"/>
      <c r="AA322" s="77"/>
      <c r="AB322" s="77"/>
      <c r="AC322" s="77"/>
      <c r="AD322" s="77"/>
      <c r="AE322" s="77"/>
      <c r="AF322" s="77"/>
      <c r="AG322" s="77"/>
      <c r="AH322" s="78"/>
      <c r="AI322" s="78"/>
      <c r="AJ322" s="78"/>
      <c r="AK322" s="78"/>
      <c r="AL322" s="78"/>
      <c r="AM322" s="78"/>
      <c r="AN322" s="76"/>
      <c r="AO322" s="76"/>
      <c r="AP322" s="76"/>
      <c r="AQ322" s="76"/>
      <c r="AR322" s="76"/>
      <c r="AS322" s="76"/>
      <c r="AT322" s="76"/>
      <c r="AU322" s="76"/>
      <c r="AV322" s="76"/>
      <c r="AW322" s="79"/>
      <c r="AX322" s="79"/>
      <c r="AY322" s="79"/>
      <c r="AZ322" s="79"/>
      <c r="BA322" s="79"/>
      <c r="BB322" s="11"/>
      <c r="BC322" s="11"/>
      <c r="BD322" s="11"/>
      <c r="BE322" s="73"/>
      <c r="BF322" s="73"/>
      <c r="BG322" s="73"/>
      <c r="BH322" s="77"/>
      <c r="BI322" s="77"/>
      <c r="BJ322" s="77"/>
      <c r="BK322" s="77"/>
      <c r="BL322" s="77"/>
      <c r="BM322" s="77"/>
      <c r="BN322" s="158"/>
      <c r="BO322" s="158"/>
    </row>
    <row r="323" spans="1:67" ht="15" x14ac:dyDescent="0.25">
      <c r="A323" s="71"/>
      <c r="B323" s="11"/>
      <c r="C323" s="11"/>
      <c r="D323" s="11"/>
      <c r="E323" s="11"/>
      <c r="F323" s="11"/>
      <c r="G323" s="11"/>
      <c r="H323" s="11"/>
      <c r="I323" s="11"/>
      <c r="J323" s="249"/>
      <c r="K323" s="72"/>
      <c r="L323" s="73"/>
      <c r="M323" s="73"/>
      <c r="N323" s="74"/>
      <c r="O323" s="75"/>
      <c r="P323" s="73"/>
      <c r="Q323" s="76"/>
      <c r="R323" s="76"/>
      <c r="S323" s="76"/>
      <c r="T323" s="76"/>
      <c r="U323" s="76"/>
      <c r="V323" s="76"/>
      <c r="W323" s="76"/>
      <c r="X323" s="76"/>
      <c r="Y323" s="76"/>
      <c r="Z323" s="77"/>
      <c r="AA323" s="77"/>
      <c r="AB323" s="77"/>
      <c r="AC323" s="77"/>
      <c r="AD323" s="77"/>
      <c r="AE323" s="77"/>
      <c r="AF323" s="77"/>
      <c r="AG323" s="77"/>
      <c r="AH323" s="78"/>
      <c r="AI323" s="78"/>
      <c r="AJ323" s="78"/>
      <c r="AK323" s="78"/>
      <c r="AL323" s="78"/>
      <c r="AM323" s="78"/>
      <c r="AN323" s="76"/>
      <c r="AO323" s="76"/>
      <c r="AP323" s="76"/>
      <c r="AQ323" s="76"/>
      <c r="AR323" s="76"/>
      <c r="AS323" s="76"/>
      <c r="AT323" s="76"/>
      <c r="AU323" s="76"/>
      <c r="AV323" s="76"/>
      <c r="AW323" s="79"/>
      <c r="AX323" s="79"/>
      <c r="AY323" s="79"/>
      <c r="AZ323" s="79"/>
      <c r="BA323" s="79"/>
      <c r="BB323" s="11"/>
      <c r="BC323" s="11"/>
      <c r="BD323" s="11"/>
      <c r="BE323" s="73"/>
      <c r="BF323" s="73"/>
      <c r="BG323" s="73"/>
      <c r="BH323" s="77"/>
      <c r="BI323" s="77"/>
      <c r="BJ323" s="77"/>
      <c r="BK323" s="77"/>
      <c r="BL323" s="77"/>
      <c r="BM323" s="77"/>
      <c r="BN323" s="158"/>
      <c r="BO323" s="158"/>
    </row>
    <row r="324" spans="1:67" ht="15" x14ac:dyDescent="0.25">
      <c r="A324" s="71"/>
      <c r="B324" s="11"/>
      <c r="C324" s="11"/>
      <c r="D324" s="11"/>
      <c r="E324" s="11"/>
      <c r="F324" s="11"/>
      <c r="G324" s="11"/>
      <c r="H324" s="11"/>
      <c r="I324" s="11"/>
      <c r="J324" s="249"/>
      <c r="K324" s="72"/>
      <c r="L324" s="73"/>
      <c r="M324" s="73"/>
      <c r="N324" s="74"/>
      <c r="O324" s="75"/>
      <c r="P324" s="73"/>
      <c r="Q324" s="76"/>
      <c r="R324" s="76"/>
      <c r="S324" s="76"/>
      <c r="T324" s="76"/>
      <c r="U324" s="76"/>
      <c r="V324" s="76"/>
      <c r="W324" s="76"/>
      <c r="X324" s="76"/>
      <c r="Y324" s="76"/>
      <c r="Z324" s="77"/>
      <c r="AA324" s="77"/>
      <c r="AB324" s="77"/>
      <c r="AC324" s="77"/>
      <c r="AD324" s="77"/>
      <c r="AE324" s="77"/>
      <c r="AF324" s="77"/>
      <c r="AG324" s="77"/>
      <c r="AH324" s="78"/>
      <c r="AI324" s="78"/>
      <c r="AJ324" s="78"/>
      <c r="AK324" s="78"/>
      <c r="AL324" s="78"/>
      <c r="AM324" s="78"/>
      <c r="AN324" s="76"/>
      <c r="AO324" s="76"/>
      <c r="AP324" s="76"/>
      <c r="AQ324" s="76"/>
      <c r="AR324" s="76"/>
      <c r="AS324" s="76"/>
      <c r="AT324" s="76"/>
      <c r="AU324" s="76"/>
      <c r="AV324" s="76"/>
      <c r="AW324" s="79"/>
      <c r="AX324" s="79"/>
      <c r="AY324" s="79"/>
      <c r="AZ324" s="79"/>
      <c r="BA324" s="79"/>
      <c r="BB324" s="11"/>
      <c r="BC324" s="11"/>
      <c r="BD324" s="11"/>
      <c r="BE324" s="73"/>
      <c r="BF324" s="73"/>
      <c r="BG324" s="73"/>
      <c r="BH324" s="77"/>
      <c r="BI324" s="77"/>
      <c r="BJ324" s="77"/>
      <c r="BK324" s="77"/>
      <c r="BL324" s="77"/>
      <c r="BM324" s="77"/>
      <c r="BN324" s="158"/>
      <c r="BO324" s="158"/>
    </row>
    <row r="325" spans="1:67" ht="15" x14ac:dyDescent="0.25">
      <c r="A325" s="71"/>
      <c r="B325" s="11"/>
      <c r="C325" s="11"/>
      <c r="D325" s="11"/>
      <c r="E325" s="11"/>
      <c r="F325" s="11"/>
      <c r="G325" s="11"/>
      <c r="H325" s="11"/>
      <c r="I325" s="11"/>
      <c r="J325" s="249"/>
      <c r="K325" s="72"/>
      <c r="L325" s="73"/>
      <c r="M325" s="73"/>
      <c r="N325" s="74"/>
      <c r="O325" s="75"/>
      <c r="P325" s="73"/>
      <c r="Q325" s="76"/>
      <c r="R325" s="76"/>
      <c r="S325" s="76"/>
      <c r="T325" s="76"/>
      <c r="U325" s="76"/>
      <c r="V325" s="76"/>
      <c r="W325" s="76"/>
      <c r="X325" s="76"/>
      <c r="Y325" s="76"/>
      <c r="Z325" s="77"/>
      <c r="AA325" s="77"/>
      <c r="AB325" s="77"/>
      <c r="AC325" s="77"/>
      <c r="AD325" s="77"/>
      <c r="AE325" s="77"/>
      <c r="AF325" s="77"/>
      <c r="AG325" s="77"/>
      <c r="AH325" s="78"/>
      <c r="AI325" s="78"/>
      <c r="AJ325" s="78"/>
      <c r="AK325" s="78"/>
      <c r="AL325" s="78"/>
      <c r="AM325" s="78"/>
      <c r="AN325" s="76"/>
      <c r="AO325" s="76"/>
      <c r="AP325" s="76"/>
      <c r="AQ325" s="76"/>
      <c r="AR325" s="76"/>
      <c r="AS325" s="76"/>
      <c r="AT325" s="76"/>
      <c r="AU325" s="76"/>
      <c r="AV325" s="76"/>
      <c r="AW325" s="79"/>
      <c r="AX325" s="79"/>
      <c r="AY325" s="79"/>
      <c r="AZ325" s="79"/>
      <c r="BA325" s="79"/>
      <c r="BB325" s="11"/>
      <c r="BC325" s="11"/>
      <c r="BD325" s="11"/>
      <c r="BE325" s="73"/>
      <c r="BF325" s="73"/>
      <c r="BG325" s="73"/>
      <c r="BH325" s="77"/>
      <c r="BI325" s="77"/>
      <c r="BJ325" s="77"/>
      <c r="BK325" s="77"/>
      <c r="BL325" s="77"/>
      <c r="BM325" s="77"/>
      <c r="BN325" s="158"/>
      <c r="BO325" s="158"/>
    </row>
    <row r="326" spans="1:67" ht="15" x14ac:dyDescent="0.25">
      <c r="A326" s="71"/>
      <c r="B326" s="11"/>
      <c r="C326" s="11"/>
      <c r="D326" s="11"/>
      <c r="E326" s="11"/>
      <c r="F326" s="11"/>
      <c r="G326" s="11"/>
      <c r="H326" s="11"/>
      <c r="I326" s="11"/>
      <c r="J326" s="249"/>
      <c r="K326" s="72"/>
      <c r="L326" s="73"/>
      <c r="M326" s="73"/>
      <c r="N326" s="74"/>
      <c r="O326" s="75"/>
      <c r="P326" s="73"/>
      <c r="Q326" s="76"/>
      <c r="R326" s="76"/>
      <c r="S326" s="76"/>
      <c r="T326" s="76"/>
      <c r="U326" s="76"/>
      <c r="V326" s="76"/>
      <c r="W326" s="76"/>
      <c r="X326" s="76"/>
      <c r="Y326" s="76"/>
      <c r="Z326" s="77"/>
      <c r="AA326" s="77"/>
      <c r="AB326" s="77"/>
      <c r="AC326" s="77"/>
      <c r="AD326" s="77"/>
      <c r="AE326" s="77"/>
      <c r="AF326" s="77"/>
      <c r="AG326" s="77"/>
      <c r="AH326" s="78"/>
      <c r="AI326" s="78"/>
      <c r="AJ326" s="78"/>
      <c r="AK326" s="78"/>
      <c r="AL326" s="78"/>
      <c r="AM326" s="78"/>
      <c r="AN326" s="76"/>
      <c r="AO326" s="76"/>
      <c r="AP326" s="76"/>
      <c r="AQ326" s="76"/>
      <c r="AR326" s="76"/>
      <c r="AS326" s="76"/>
      <c r="AT326" s="76"/>
      <c r="AU326" s="76"/>
      <c r="AV326" s="76"/>
      <c r="AW326" s="79"/>
      <c r="AX326" s="79"/>
      <c r="AY326" s="79"/>
      <c r="AZ326" s="79"/>
      <c r="BA326" s="79"/>
      <c r="BB326" s="11"/>
      <c r="BC326" s="11"/>
      <c r="BD326" s="11"/>
      <c r="BE326" s="73"/>
      <c r="BF326" s="73"/>
      <c r="BG326" s="73"/>
      <c r="BH326" s="77"/>
      <c r="BI326" s="77"/>
      <c r="BJ326" s="77"/>
      <c r="BK326" s="77"/>
      <c r="BL326" s="77"/>
      <c r="BM326" s="77"/>
      <c r="BN326" s="158"/>
      <c r="BO326" s="158"/>
    </row>
    <row r="327" spans="1:67" ht="15" x14ac:dyDescent="0.25">
      <c r="A327" s="71"/>
      <c r="B327" s="11"/>
      <c r="C327" s="11"/>
      <c r="D327" s="11"/>
      <c r="E327" s="11"/>
      <c r="F327" s="11"/>
      <c r="G327" s="11"/>
      <c r="H327" s="11"/>
      <c r="I327" s="11"/>
      <c r="J327" s="249"/>
      <c r="K327" s="72"/>
      <c r="L327" s="73"/>
      <c r="M327" s="73"/>
      <c r="N327" s="74"/>
      <c r="O327" s="75"/>
      <c r="P327" s="73"/>
      <c r="Q327" s="76"/>
      <c r="R327" s="76"/>
      <c r="S327" s="76"/>
      <c r="T327" s="76"/>
      <c r="U327" s="76"/>
      <c r="V327" s="76"/>
      <c r="W327" s="76"/>
      <c r="X327" s="76"/>
      <c r="Y327" s="76"/>
      <c r="Z327" s="77"/>
      <c r="AA327" s="77"/>
      <c r="AB327" s="77"/>
      <c r="AC327" s="77"/>
      <c r="AD327" s="77"/>
      <c r="AE327" s="77"/>
      <c r="AF327" s="77"/>
      <c r="AG327" s="77"/>
      <c r="AH327" s="78"/>
      <c r="AI327" s="78"/>
      <c r="AJ327" s="78"/>
      <c r="AK327" s="78"/>
      <c r="AL327" s="78"/>
      <c r="AM327" s="78"/>
      <c r="AN327" s="76"/>
      <c r="AO327" s="76"/>
      <c r="AP327" s="76"/>
      <c r="AQ327" s="76"/>
      <c r="AR327" s="76"/>
      <c r="AS327" s="76"/>
      <c r="AT327" s="76"/>
      <c r="AU327" s="76"/>
      <c r="AV327" s="76"/>
      <c r="AW327" s="79"/>
      <c r="AX327" s="79"/>
      <c r="AY327" s="79"/>
      <c r="AZ327" s="79"/>
      <c r="BA327" s="79"/>
      <c r="BB327" s="11"/>
      <c r="BC327" s="11"/>
      <c r="BD327" s="11"/>
      <c r="BE327" s="73"/>
      <c r="BF327" s="73"/>
      <c r="BG327" s="73"/>
      <c r="BH327" s="77"/>
      <c r="BI327" s="77"/>
      <c r="BJ327" s="77"/>
      <c r="BK327" s="77"/>
      <c r="BL327" s="77"/>
      <c r="BM327" s="77"/>
      <c r="BN327" s="158"/>
      <c r="BO327" s="158"/>
    </row>
    <row r="328" spans="1:67" ht="15" x14ac:dyDescent="0.25">
      <c r="A328" s="71"/>
      <c r="B328" s="11"/>
      <c r="C328" s="11"/>
      <c r="D328" s="11"/>
      <c r="E328" s="11"/>
      <c r="F328" s="11"/>
      <c r="G328" s="11"/>
      <c r="H328" s="11"/>
      <c r="I328" s="11"/>
      <c r="J328" s="249"/>
      <c r="K328" s="72"/>
      <c r="L328" s="73"/>
      <c r="M328" s="73"/>
      <c r="N328" s="74"/>
      <c r="O328" s="75"/>
      <c r="P328" s="73"/>
      <c r="Q328" s="76"/>
      <c r="R328" s="76"/>
      <c r="S328" s="76"/>
      <c r="T328" s="76"/>
      <c r="U328" s="76"/>
      <c r="V328" s="76"/>
      <c r="W328" s="76"/>
      <c r="X328" s="76"/>
      <c r="Y328" s="76"/>
      <c r="Z328" s="77"/>
      <c r="AA328" s="77"/>
      <c r="AB328" s="77"/>
      <c r="AC328" s="77"/>
      <c r="AD328" s="77"/>
      <c r="AE328" s="77"/>
      <c r="AF328" s="77"/>
      <c r="AG328" s="77"/>
      <c r="AH328" s="78"/>
      <c r="AI328" s="78"/>
      <c r="AJ328" s="78"/>
      <c r="AK328" s="78"/>
      <c r="AL328" s="78"/>
      <c r="AM328" s="78"/>
      <c r="AN328" s="76"/>
      <c r="AO328" s="76"/>
      <c r="AP328" s="76"/>
      <c r="AQ328" s="76"/>
      <c r="AR328" s="76"/>
      <c r="AS328" s="76"/>
      <c r="AT328" s="76"/>
      <c r="AU328" s="76"/>
      <c r="AV328" s="76"/>
      <c r="AW328" s="79"/>
      <c r="AX328" s="79"/>
      <c r="AY328" s="79"/>
      <c r="AZ328" s="79"/>
      <c r="BA328" s="79"/>
      <c r="BB328" s="11"/>
      <c r="BC328" s="11"/>
      <c r="BD328" s="11"/>
      <c r="BE328" s="73"/>
      <c r="BF328" s="73"/>
      <c r="BG328" s="73"/>
      <c r="BH328" s="77"/>
      <c r="BI328" s="77"/>
      <c r="BJ328" s="77"/>
      <c r="BK328" s="77"/>
      <c r="BL328" s="77"/>
      <c r="BM328" s="77"/>
      <c r="BN328" s="158"/>
      <c r="BO328" s="158"/>
    </row>
    <row r="329" spans="1:67" ht="15" x14ac:dyDescent="0.25">
      <c r="A329" s="71"/>
      <c r="B329" s="11"/>
      <c r="C329" s="11"/>
      <c r="D329" s="11"/>
      <c r="E329" s="11"/>
      <c r="F329" s="11"/>
      <c r="G329" s="11"/>
      <c r="H329" s="11"/>
      <c r="I329" s="11"/>
      <c r="J329" s="249"/>
      <c r="K329" s="72"/>
      <c r="L329" s="73"/>
      <c r="M329" s="73"/>
      <c r="N329" s="74"/>
      <c r="O329" s="75"/>
      <c r="P329" s="73"/>
      <c r="Q329" s="76"/>
      <c r="R329" s="76"/>
      <c r="S329" s="76"/>
      <c r="T329" s="76"/>
      <c r="U329" s="76"/>
      <c r="V329" s="76"/>
      <c r="W329" s="76"/>
      <c r="X329" s="76"/>
      <c r="Y329" s="76"/>
      <c r="Z329" s="77"/>
      <c r="AA329" s="77"/>
      <c r="AB329" s="77"/>
      <c r="AC329" s="77"/>
      <c r="AD329" s="77"/>
      <c r="AE329" s="77"/>
      <c r="AF329" s="77"/>
      <c r="AG329" s="77"/>
      <c r="AH329" s="78"/>
      <c r="AI329" s="78"/>
      <c r="AJ329" s="78"/>
      <c r="AK329" s="78"/>
      <c r="AL329" s="78"/>
      <c r="AM329" s="78"/>
      <c r="AN329" s="76"/>
      <c r="AO329" s="76"/>
      <c r="AP329" s="76"/>
      <c r="AQ329" s="76"/>
      <c r="AR329" s="76"/>
      <c r="AS329" s="76"/>
      <c r="AT329" s="76"/>
      <c r="AU329" s="76"/>
      <c r="AV329" s="76"/>
      <c r="AW329" s="79"/>
      <c r="AX329" s="79"/>
      <c r="AY329" s="79"/>
      <c r="AZ329" s="79"/>
      <c r="BA329" s="79"/>
      <c r="BB329" s="11"/>
      <c r="BC329" s="11"/>
      <c r="BD329" s="11"/>
      <c r="BE329" s="73"/>
      <c r="BF329" s="73"/>
      <c r="BG329" s="73"/>
      <c r="BH329" s="77"/>
      <c r="BI329" s="77"/>
      <c r="BJ329" s="77"/>
      <c r="BK329" s="77"/>
      <c r="BL329" s="77"/>
      <c r="BM329" s="77"/>
      <c r="BN329" s="158"/>
      <c r="BO329" s="158"/>
    </row>
    <row r="330" spans="1:67" ht="15" x14ac:dyDescent="0.25">
      <c r="A330" s="71"/>
      <c r="B330" s="11"/>
      <c r="C330" s="11"/>
      <c r="D330" s="11"/>
      <c r="E330" s="11"/>
      <c r="F330" s="11"/>
      <c r="G330" s="11"/>
      <c r="H330" s="11"/>
      <c r="I330" s="11"/>
      <c r="J330" s="249"/>
      <c r="K330" s="72"/>
      <c r="L330" s="73"/>
      <c r="M330" s="73"/>
      <c r="N330" s="74"/>
      <c r="O330" s="75"/>
      <c r="P330" s="73"/>
      <c r="Q330" s="76"/>
      <c r="R330" s="76"/>
      <c r="S330" s="76"/>
      <c r="T330" s="76"/>
      <c r="U330" s="76"/>
      <c r="V330" s="76"/>
      <c r="W330" s="76"/>
      <c r="X330" s="76"/>
      <c r="Y330" s="76"/>
      <c r="Z330" s="77"/>
      <c r="AA330" s="77"/>
      <c r="AB330" s="77"/>
      <c r="AC330" s="77"/>
      <c r="AD330" s="77"/>
      <c r="AE330" s="77"/>
      <c r="AF330" s="77"/>
      <c r="AG330" s="77"/>
      <c r="AH330" s="78"/>
      <c r="AI330" s="78"/>
      <c r="AJ330" s="78"/>
      <c r="AK330" s="78"/>
      <c r="AL330" s="78"/>
      <c r="AM330" s="78"/>
      <c r="AN330" s="76"/>
      <c r="AO330" s="76"/>
      <c r="AP330" s="76"/>
      <c r="AQ330" s="76"/>
      <c r="AR330" s="76"/>
      <c r="AS330" s="76"/>
      <c r="AT330" s="76"/>
      <c r="AU330" s="76"/>
      <c r="AV330" s="76"/>
      <c r="AW330" s="79"/>
      <c r="AX330" s="79"/>
      <c r="AY330" s="79"/>
      <c r="AZ330" s="79"/>
      <c r="BA330" s="79"/>
      <c r="BB330" s="11"/>
      <c r="BC330" s="11"/>
      <c r="BD330" s="11"/>
      <c r="BE330" s="73"/>
      <c r="BF330" s="73"/>
      <c r="BG330" s="73"/>
      <c r="BH330" s="77"/>
      <c r="BI330" s="77"/>
      <c r="BJ330" s="77"/>
      <c r="BK330" s="77"/>
      <c r="BL330" s="77"/>
      <c r="BM330" s="77"/>
      <c r="BN330" s="158"/>
      <c r="BO330" s="158"/>
    </row>
    <row r="331" spans="1:67" ht="15" x14ac:dyDescent="0.25">
      <c r="A331" s="71"/>
      <c r="B331" s="11"/>
      <c r="C331" s="11"/>
      <c r="D331" s="11"/>
      <c r="E331" s="11"/>
      <c r="F331" s="11"/>
      <c r="G331" s="11"/>
      <c r="H331" s="11"/>
      <c r="I331" s="11"/>
      <c r="J331" s="249"/>
      <c r="K331" s="72"/>
      <c r="L331" s="73"/>
      <c r="M331" s="73"/>
      <c r="N331" s="74"/>
      <c r="O331" s="75"/>
      <c r="P331" s="73"/>
      <c r="Q331" s="76"/>
      <c r="R331" s="76"/>
      <c r="S331" s="76"/>
      <c r="T331" s="76"/>
      <c r="U331" s="76"/>
      <c r="V331" s="76"/>
      <c r="W331" s="76"/>
      <c r="X331" s="76"/>
      <c r="Y331" s="76"/>
      <c r="Z331" s="77"/>
      <c r="AA331" s="77"/>
      <c r="AB331" s="77"/>
      <c r="AC331" s="77"/>
      <c r="AD331" s="77"/>
      <c r="AE331" s="77"/>
      <c r="AF331" s="77"/>
      <c r="AG331" s="77"/>
      <c r="AH331" s="78"/>
      <c r="AI331" s="78"/>
      <c r="AJ331" s="78"/>
      <c r="AK331" s="78"/>
      <c r="AL331" s="78"/>
      <c r="AM331" s="78"/>
      <c r="AN331" s="76"/>
      <c r="AO331" s="76"/>
      <c r="AP331" s="76"/>
      <c r="AQ331" s="76"/>
      <c r="AR331" s="76"/>
      <c r="AS331" s="76"/>
      <c r="AT331" s="76"/>
      <c r="AU331" s="76"/>
      <c r="AV331" s="76"/>
      <c r="AW331" s="79"/>
      <c r="AX331" s="79"/>
      <c r="AY331" s="79"/>
      <c r="AZ331" s="79"/>
      <c r="BA331" s="79"/>
      <c r="BB331" s="11"/>
      <c r="BC331" s="11"/>
      <c r="BD331" s="11"/>
      <c r="BE331" s="73"/>
      <c r="BF331" s="73"/>
      <c r="BG331" s="73"/>
      <c r="BH331" s="77"/>
      <c r="BI331" s="77"/>
      <c r="BJ331" s="77"/>
      <c r="BK331" s="77"/>
      <c r="BL331" s="77"/>
      <c r="BM331" s="77"/>
      <c r="BN331" s="158"/>
      <c r="BO331" s="158"/>
    </row>
    <row r="332" spans="1:67" ht="15" x14ac:dyDescent="0.25">
      <c r="A332" s="71"/>
      <c r="B332" s="11"/>
      <c r="C332" s="11"/>
      <c r="D332" s="11"/>
      <c r="E332" s="11"/>
      <c r="F332" s="11"/>
      <c r="G332" s="11"/>
      <c r="H332" s="11"/>
      <c r="I332" s="11"/>
      <c r="J332" s="249"/>
      <c r="K332" s="72"/>
      <c r="L332" s="73"/>
      <c r="M332" s="73"/>
      <c r="N332" s="74"/>
      <c r="O332" s="75"/>
      <c r="P332" s="73"/>
      <c r="Q332" s="76"/>
      <c r="R332" s="76"/>
      <c r="S332" s="76"/>
      <c r="T332" s="76"/>
      <c r="U332" s="76"/>
      <c r="V332" s="76"/>
      <c r="W332" s="76"/>
      <c r="X332" s="76"/>
      <c r="Y332" s="76"/>
      <c r="Z332" s="77"/>
      <c r="AA332" s="77"/>
      <c r="AB332" s="77"/>
      <c r="AC332" s="77"/>
      <c r="AD332" s="77"/>
      <c r="AE332" s="77"/>
      <c r="AF332" s="77"/>
      <c r="AG332" s="77"/>
      <c r="AH332" s="78"/>
      <c r="AI332" s="78"/>
      <c r="AJ332" s="78"/>
      <c r="AK332" s="78"/>
      <c r="AL332" s="78"/>
      <c r="AM332" s="78"/>
      <c r="AN332" s="76"/>
      <c r="AO332" s="76"/>
      <c r="AP332" s="76"/>
      <c r="AQ332" s="76"/>
      <c r="AR332" s="76"/>
      <c r="AS332" s="76"/>
      <c r="AT332" s="76"/>
      <c r="AU332" s="76"/>
      <c r="AV332" s="76"/>
      <c r="AW332" s="79"/>
      <c r="AX332" s="79"/>
      <c r="AY332" s="79"/>
      <c r="AZ332" s="79"/>
      <c r="BA332" s="79"/>
      <c r="BB332" s="11"/>
      <c r="BC332" s="11"/>
      <c r="BD332" s="11"/>
      <c r="BE332" s="73"/>
      <c r="BF332" s="73"/>
      <c r="BG332" s="73"/>
      <c r="BH332" s="77"/>
      <c r="BI332" s="77"/>
      <c r="BJ332" s="77"/>
      <c r="BK332" s="77"/>
      <c r="BL332" s="77"/>
      <c r="BM332" s="77"/>
      <c r="BN332" s="158"/>
      <c r="BO332" s="158"/>
    </row>
    <row r="333" spans="1:67" ht="15" x14ac:dyDescent="0.25">
      <c r="A333" s="71"/>
      <c r="B333" s="11"/>
      <c r="C333" s="11"/>
      <c r="D333" s="11"/>
      <c r="E333" s="11"/>
      <c r="F333" s="11"/>
      <c r="G333" s="11"/>
      <c r="H333" s="11"/>
      <c r="I333" s="11"/>
      <c r="J333" s="249"/>
      <c r="K333" s="72"/>
      <c r="L333" s="73"/>
      <c r="M333" s="73"/>
      <c r="N333" s="74"/>
      <c r="O333" s="75"/>
      <c r="P333" s="73"/>
      <c r="Q333" s="76"/>
      <c r="R333" s="76"/>
      <c r="S333" s="76"/>
      <c r="T333" s="76"/>
      <c r="U333" s="76"/>
      <c r="V333" s="76"/>
      <c r="W333" s="76"/>
      <c r="X333" s="76"/>
      <c r="Y333" s="76"/>
      <c r="Z333" s="77"/>
      <c r="AA333" s="77"/>
      <c r="AB333" s="77"/>
      <c r="AC333" s="77"/>
      <c r="AD333" s="77"/>
      <c r="AE333" s="77"/>
      <c r="AF333" s="77"/>
      <c r="AG333" s="77"/>
      <c r="AH333" s="78"/>
      <c r="AI333" s="78"/>
      <c r="AJ333" s="78"/>
      <c r="AK333" s="78"/>
      <c r="AL333" s="78"/>
      <c r="AM333" s="78"/>
      <c r="AN333" s="76"/>
      <c r="AO333" s="76"/>
      <c r="AP333" s="76"/>
      <c r="AQ333" s="76"/>
      <c r="AR333" s="76"/>
      <c r="AS333" s="76"/>
      <c r="AT333" s="76"/>
      <c r="AU333" s="76"/>
      <c r="AV333" s="76"/>
      <c r="AW333" s="79"/>
      <c r="AX333" s="79"/>
      <c r="AY333" s="79"/>
      <c r="AZ333" s="79"/>
      <c r="BA333" s="79"/>
      <c r="BB333" s="11"/>
      <c r="BC333" s="11"/>
      <c r="BD333" s="11"/>
      <c r="BE333" s="73"/>
      <c r="BF333" s="73"/>
      <c r="BG333" s="73"/>
      <c r="BH333" s="77"/>
      <c r="BI333" s="77"/>
      <c r="BJ333" s="77"/>
      <c r="BK333" s="77"/>
      <c r="BL333" s="77"/>
      <c r="BM333" s="77"/>
      <c r="BN333" s="158"/>
      <c r="BO333" s="158"/>
    </row>
    <row r="334" spans="1:67" ht="15" x14ac:dyDescent="0.25">
      <c r="A334" s="71"/>
      <c r="B334" s="11"/>
      <c r="C334" s="11"/>
      <c r="D334" s="11"/>
      <c r="E334" s="11"/>
      <c r="F334" s="11"/>
      <c r="G334" s="11"/>
      <c r="H334" s="11"/>
      <c r="I334" s="11"/>
      <c r="J334" s="249"/>
      <c r="K334" s="72"/>
      <c r="L334" s="73"/>
      <c r="M334" s="73"/>
      <c r="N334" s="74"/>
      <c r="O334" s="75"/>
      <c r="P334" s="73"/>
      <c r="Q334" s="76"/>
      <c r="R334" s="76"/>
      <c r="S334" s="76"/>
      <c r="T334" s="76"/>
      <c r="U334" s="76"/>
      <c r="V334" s="76"/>
      <c r="W334" s="76"/>
      <c r="X334" s="76"/>
      <c r="Y334" s="76"/>
      <c r="Z334" s="77"/>
      <c r="AA334" s="77"/>
      <c r="AB334" s="77"/>
      <c r="AC334" s="77"/>
      <c r="AD334" s="77"/>
      <c r="AE334" s="77"/>
      <c r="AF334" s="77"/>
      <c r="AG334" s="77"/>
      <c r="AH334" s="78"/>
      <c r="AI334" s="78"/>
      <c r="AJ334" s="78"/>
      <c r="AK334" s="78"/>
      <c r="AL334" s="78"/>
      <c r="AM334" s="78"/>
      <c r="AN334" s="76"/>
      <c r="AO334" s="76"/>
      <c r="AP334" s="76"/>
      <c r="AQ334" s="76"/>
      <c r="AR334" s="76"/>
      <c r="AS334" s="76"/>
      <c r="AT334" s="76"/>
      <c r="AU334" s="76"/>
      <c r="AV334" s="76"/>
      <c r="AW334" s="79"/>
      <c r="AX334" s="79"/>
      <c r="AY334" s="79"/>
      <c r="AZ334" s="79"/>
      <c r="BA334" s="79"/>
      <c r="BB334" s="11"/>
      <c r="BC334" s="11"/>
      <c r="BD334" s="11"/>
      <c r="BE334" s="73"/>
      <c r="BF334" s="73"/>
      <c r="BG334" s="73"/>
      <c r="BH334" s="77"/>
      <c r="BI334" s="77"/>
      <c r="BJ334" s="77"/>
      <c r="BK334" s="77"/>
      <c r="BL334" s="77"/>
      <c r="BM334" s="77"/>
      <c r="BN334" s="158"/>
      <c r="BO334" s="158"/>
    </row>
    <row r="335" spans="1:67" ht="15" x14ac:dyDescent="0.25">
      <c r="A335" s="71"/>
      <c r="B335" s="11"/>
      <c r="C335" s="11"/>
      <c r="D335" s="11"/>
      <c r="E335" s="11"/>
      <c r="F335" s="11"/>
      <c r="G335" s="11"/>
      <c r="H335" s="11"/>
      <c r="I335" s="11"/>
      <c r="J335" s="249"/>
      <c r="K335" s="72"/>
      <c r="L335" s="73"/>
      <c r="M335" s="73"/>
      <c r="N335" s="74"/>
      <c r="O335" s="75"/>
      <c r="P335" s="73"/>
      <c r="Q335" s="76"/>
      <c r="R335" s="76"/>
      <c r="S335" s="76"/>
      <c r="T335" s="76"/>
      <c r="U335" s="76"/>
      <c r="V335" s="76"/>
      <c r="W335" s="76"/>
      <c r="X335" s="76"/>
      <c r="Y335" s="76"/>
      <c r="Z335" s="77"/>
      <c r="AA335" s="77"/>
      <c r="AB335" s="77"/>
      <c r="AC335" s="77"/>
      <c r="AD335" s="77"/>
      <c r="AE335" s="77"/>
      <c r="AF335" s="77"/>
      <c r="AG335" s="77"/>
      <c r="AH335" s="78"/>
      <c r="AI335" s="78"/>
      <c r="AJ335" s="78"/>
      <c r="AK335" s="78"/>
      <c r="AL335" s="78"/>
      <c r="AM335" s="78"/>
      <c r="AN335" s="76"/>
      <c r="AO335" s="76"/>
      <c r="AP335" s="76"/>
      <c r="AQ335" s="76"/>
      <c r="AR335" s="76"/>
      <c r="AS335" s="76"/>
      <c r="AT335" s="76"/>
      <c r="AU335" s="76"/>
      <c r="AV335" s="76"/>
      <c r="AW335" s="79"/>
      <c r="AX335" s="79"/>
      <c r="AY335" s="79"/>
      <c r="AZ335" s="79"/>
      <c r="BA335" s="79"/>
      <c r="BB335" s="11"/>
      <c r="BC335" s="11"/>
      <c r="BD335" s="11"/>
      <c r="BE335" s="73"/>
      <c r="BF335" s="73"/>
      <c r="BG335" s="73"/>
      <c r="BH335" s="77"/>
      <c r="BI335" s="77"/>
      <c r="BJ335" s="77"/>
      <c r="BK335" s="77"/>
      <c r="BL335" s="77"/>
      <c r="BM335" s="77"/>
      <c r="BN335" s="158"/>
      <c r="BO335" s="158"/>
    </row>
    <row r="336" spans="1:67" ht="15" x14ac:dyDescent="0.25">
      <c r="A336" s="71"/>
      <c r="B336" s="11"/>
      <c r="C336" s="11"/>
      <c r="D336" s="11"/>
      <c r="E336" s="11"/>
      <c r="F336" s="11"/>
      <c r="G336" s="11"/>
      <c r="H336" s="11"/>
      <c r="I336" s="11"/>
      <c r="J336" s="249"/>
      <c r="K336" s="72"/>
      <c r="L336" s="73"/>
      <c r="M336" s="73"/>
      <c r="N336" s="74"/>
      <c r="O336" s="75"/>
      <c r="P336" s="73"/>
      <c r="Q336" s="76"/>
      <c r="R336" s="76"/>
      <c r="S336" s="76"/>
      <c r="T336" s="76"/>
      <c r="U336" s="76"/>
      <c r="V336" s="76"/>
      <c r="W336" s="76"/>
      <c r="X336" s="76"/>
      <c r="Y336" s="76"/>
      <c r="Z336" s="77"/>
      <c r="AA336" s="77"/>
      <c r="AB336" s="77"/>
      <c r="AC336" s="77"/>
      <c r="AD336" s="77"/>
      <c r="AE336" s="77"/>
      <c r="AF336" s="77"/>
      <c r="AG336" s="77"/>
      <c r="AH336" s="78"/>
      <c r="AI336" s="78"/>
      <c r="AJ336" s="78"/>
      <c r="AK336" s="78"/>
      <c r="AL336" s="78"/>
      <c r="AM336" s="78"/>
      <c r="AN336" s="76"/>
      <c r="AO336" s="76"/>
      <c r="AP336" s="76"/>
      <c r="AQ336" s="76"/>
      <c r="AR336" s="76"/>
      <c r="AS336" s="76"/>
      <c r="AT336" s="76"/>
      <c r="AU336" s="76"/>
      <c r="AV336" s="76"/>
      <c r="AW336" s="79"/>
      <c r="AX336" s="79"/>
      <c r="AY336" s="79"/>
      <c r="AZ336" s="79"/>
      <c r="BA336" s="79"/>
      <c r="BB336" s="11"/>
      <c r="BC336" s="11"/>
      <c r="BD336" s="11"/>
      <c r="BE336" s="73"/>
      <c r="BF336" s="73"/>
      <c r="BG336" s="73"/>
      <c r="BH336" s="77"/>
      <c r="BI336" s="77"/>
      <c r="BJ336" s="77"/>
      <c r="BK336" s="77"/>
      <c r="BL336" s="77"/>
      <c r="BM336" s="77"/>
      <c r="BN336" s="158"/>
      <c r="BO336" s="158"/>
    </row>
    <row r="337" spans="1:67" ht="15" x14ac:dyDescent="0.25">
      <c r="A337" s="71"/>
      <c r="B337" s="11"/>
      <c r="C337" s="11"/>
      <c r="D337" s="11"/>
      <c r="E337" s="11"/>
      <c r="F337" s="11"/>
      <c r="G337" s="11"/>
      <c r="H337" s="11"/>
      <c r="I337" s="11"/>
      <c r="J337" s="249"/>
      <c r="K337" s="72"/>
      <c r="L337" s="73"/>
      <c r="M337" s="73"/>
      <c r="N337" s="74"/>
      <c r="O337" s="75"/>
      <c r="P337" s="73"/>
      <c r="Q337" s="76"/>
      <c r="R337" s="76"/>
      <c r="S337" s="76"/>
      <c r="T337" s="76"/>
      <c r="U337" s="76"/>
      <c r="V337" s="76"/>
      <c r="W337" s="76"/>
      <c r="X337" s="76"/>
      <c r="Y337" s="76"/>
      <c r="Z337" s="77"/>
      <c r="AA337" s="77"/>
      <c r="AB337" s="77"/>
      <c r="AC337" s="77"/>
      <c r="AD337" s="77"/>
      <c r="AE337" s="77"/>
      <c r="AF337" s="77"/>
      <c r="AG337" s="77"/>
      <c r="AH337" s="78"/>
      <c r="AI337" s="78"/>
      <c r="AJ337" s="78"/>
      <c r="AK337" s="78"/>
      <c r="AL337" s="78"/>
      <c r="AM337" s="78"/>
      <c r="AN337" s="76"/>
      <c r="AO337" s="76"/>
      <c r="AP337" s="76"/>
      <c r="AQ337" s="76"/>
      <c r="AR337" s="76"/>
      <c r="AS337" s="76"/>
      <c r="AT337" s="76"/>
      <c r="AU337" s="76"/>
      <c r="AV337" s="76"/>
      <c r="AW337" s="79"/>
      <c r="AX337" s="79"/>
      <c r="AY337" s="79"/>
      <c r="AZ337" s="79"/>
      <c r="BA337" s="79"/>
      <c r="BB337" s="11"/>
      <c r="BC337" s="11"/>
      <c r="BD337" s="11"/>
      <c r="BE337" s="73"/>
      <c r="BF337" s="73"/>
      <c r="BG337" s="73"/>
      <c r="BH337" s="77"/>
      <c r="BI337" s="77"/>
      <c r="BJ337" s="77"/>
      <c r="BK337" s="77"/>
      <c r="BL337" s="77"/>
      <c r="BM337" s="77"/>
      <c r="BN337" s="158"/>
      <c r="BO337" s="158"/>
    </row>
    <row r="338" spans="1:67" ht="15" x14ac:dyDescent="0.25">
      <c r="A338" s="71"/>
      <c r="B338" s="11"/>
      <c r="C338" s="11"/>
      <c r="D338" s="11"/>
      <c r="E338" s="11"/>
      <c r="F338" s="11"/>
      <c r="G338" s="11"/>
      <c r="H338" s="11"/>
      <c r="I338" s="11"/>
      <c r="J338" s="249"/>
      <c r="K338" s="72"/>
      <c r="L338" s="73"/>
      <c r="M338" s="73"/>
      <c r="N338" s="74"/>
      <c r="O338" s="75"/>
      <c r="P338" s="73"/>
      <c r="Q338" s="76"/>
      <c r="R338" s="76"/>
      <c r="S338" s="76"/>
      <c r="T338" s="76"/>
      <c r="U338" s="76"/>
      <c r="V338" s="76"/>
      <c r="W338" s="76"/>
      <c r="X338" s="76"/>
      <c r="Y338" s="76"/>
      <c r="Z338" s="77"/>
      <c r="AA338" s="77"/>
      <c r="AB338" s="77"/>
      <c r="AC338" s="77"/>
      <c r="AD338" s="77"/>
      <c r="AE338" s="77"/>
      <c r="AF338" s="77"/>
      <c r="AG338" s="77"/>
      <c r="AH338" s="78"/>
      <c r="AI338" s="78"/>
      <c r="AJ338" s="78"/>
      <c r="AK338" s="78"/>
      <c r="AL338" s="78"/>
      <c r="AM338" s="78"/>
      <c r="AN338" s="76"/>
      <c r="AO338" s="76"/>
      <c r="AP338" s="76"/>
      <c r="AQ338" s="76"/>
      <c r="AR338" s="76"/>
      <c r="AS338" s="76"/>
      <c r="AT338" s="76"/>
      <c r="AU338" s="76"/>
      <c r="AV338" s="76"/>
      <c r="AW338" s="79"/>
      <c r="AX338" s="79"/>
      <c r="AY338" s="79"/>
      <c r="AZ338" s="79"/>
      <c r="BA338" s="79"/>
      <c r="BB338" s="11"/>
      <c r="BC338" s="11"/>
      <c r="BD338" s="11"/>
      <c r="BE338" s="73"/>
      <c r="BF338" s="73"/>
      <c r="BG338" s="73"/>
      <c r="BH338" s="77"/>
      <c r="BI338" s="77"/>
      <c r="BJ338" s="77"/>
      <c r="BK338" s="77"/>
      <c r="BL338" s="77"/>
      <c r="BM338" s="77"/>
      <c r="BN338" s="158"/>
      <c r="BO338" s="158"/>
    </row>
    <row r="339" spans="1:67" ht="15" x14ac:dyDescent="0.25">
      <c r="A339" s="71"/>
      <c r="B339" s="11"/>
      <c r="C339" s="11"/>
      <c r="D339" s="11"/>
      <c r="E339" s="11"/>
      <c r="F339" s="11"/>
      <c r="G339" s="11"/>
      <c r="H339" s="11"/>
      <c r="I339" s="11"/>
      <c r="J339" s="249"/>
      <c r="K339" s="72"/>
      <c r="L339" s="73"/>
      <c r="M339" s="73"/>
      <c r="N339" s="74"/>
      <c r="O339" s="75"/>
      <c r="P339" s="73"/>
      <c r="Q339" s="76"/>
      <c r="R339" s="76"/>
      <c r="S339" s="76"/>
      <c r="T339" s="76"/>
      <c r="U339" s="76"/>
      <c r="V339" s="76"/>
      <c r="W339" s="76"/>
      <c r="X339" s="76"/>
      <c r="Y339" s="76"/>
      <c r="Z339" s="77"/>
      <c r="AA339" s="77"/>
      <c r="AB339" s="77"/>
      <c r="AC339" s="77"/>
      <c r="AD339" s="77"/>
      <c r="AE339" s="77"/>
      <c r="AF339" s="77"/>
      <c r="AG339" s="77"/>
      <c r="AH339" s="78"/>
      <c r="AI339" s="78"/>
      <c r="AJ339" s="78"/>
      <c r="AK339" s="78"/>
      <c r="AL339" s="78"/>
      <c r="AM339" s="78"/>
      <c r="AN339" s="76"/>
      <c r="AO339" s="76"/>
      <c r="AP339" s="76"/>
      <c r="AQ339" s="76"/>
      <c r="AR339" s="76"/>
      <c r="AS339" s="76"/>
      <c r="AT339" s="76"/>
      <c r="AU339" s="76"/>
      <c r="AV339" s="76"/>
      <c r="AW339" s="79"/>
      <c r="AX339" s="79"/>
      <c r="AY339" s="79"/>
      <c r="AZ339" s="79"/>
      <c r="BA339" s="79"/>
      <c r="BB339" s="11"/>
      <c r="BC339" s="11"/>
      <c r="BD339" s="11"/>
      <c r="BE339" s="73"/>
      <c r="BF339" s="73"/>
      <c r="BG339" s="73"/>
      <c r="BH339" s="77"/>
      <c r="BI339" s="77"/>
      <c r="BJ339" s="77"/>
      <c r="BK339" s="77"/>
      <c r="BL339" s="77"/>
      <c r="BM339" s="77"/>
      <c r="BN339" s="158"/>
      <c r="BO339" s="158"/>
    </row>
    <row r="340" spans="1:67" ht="15" x14ac:dyDescent="0.25">
      <c r="A340" s="71"/>
      <c r="B340" s="11"/>
      <c r="C340" s="11"/>
      <c r="D340" s="11"/>
      <c r="E340" s="11"/>
      <c r="F340" s="11"/>
      <c r="G340" s="11"/>
      <c r="H340" s="11"/>
      <c r="I340" s="11"/>
      <c r="J340" s="249"/>
      <c r="K340" s="72"/>
      <c r="L340" s="73"/>
      <c r="M340" s="73"/>
      <c r="N340" s="74"/>
      <c r="O340" s="75"/>
      <c r="P340" s="73"/>
      <c r="Q340" s="76"/>
      <c r="R340" s="76"/>
      <c r="S340" s="76"/>
      <c r="T340" s="76"/>
      <c r="U340" s="76"/>
      <c r="V340" s="76"/>
      <c r="W340" s="76"/>
      <c r="X340" s="76"/>
      <c r="Y340" s="76"/>
      <c r="Z340" s="77"/>
      <c r="AA340" s="77"/>
      <c r="AB340" s="77"/>
      <c r="AC340" s="77"/>
      <c r="AD340" s="77"/>
      <c r="AE340" s="77"/>
      <c r="AF340" s="77"/>
      <c r="AG340" s="77"/>
      <c r="AH340" s="78"/>
      <c r="AI340" s="78"/>
      <c r="AJ340" s="78"/>
      <c r="AK340" s="78"/>
      <c r="AL340" s="78"/>
      <c r="AM340" s="78"/>
      <c r="AN340" s="76"/>
      <c r="AO340" s="76"/>
      <c r="AP340" s="76"/>
      <c r="AQ340" s="76"/>
      <c r="AR340" s="76"/>
      <c r="AS340" s="76"/>
      <c r="AT340" s="76"/>
      <c r="AU340" s="76"/>
      <c r="AV340" s="76"/>
      <c r="AW340" s="79"/>
      <c r="AX340" s="79"/>
      <c r="AY340" s="79"/>
      <c r="AZ340" s="79"/>
      <c r="BA340" s="79"/>
      <c r="BB340" s="11"/>
      <c r="BC340" s="11"/>
      <c r="BD340" s="11"/>
      <c r="BE340" s="73"/>
      <c r="BF340" s="73"/>
      <c r="BG340" s="73"/>
      <c r="BH340" s="77"/>
      <c r="BI340" s="77"/>
      <c r="BJ340" s="77"/>
      <c r="BK340" s="77"/>
      <c r="BL340" s="77"/>
      <c r="BM340" s="77"/>
      <c r="BN340" s="158"/>
      <c r="BO340" s="158"/>
    </row>
    <row r="341" spans="1:67" ht="15" x14ac:dyDescent="0.25">
      <c r="A341" s="71"/>
      <c r="B341" s="11"/>
      <c r="C341" s="11"/>
      <c r="D341" s="11"/>
      <c r="E341" s="11"/>
      <c r="F341" s="11"/>
      <c r="G341" s="11"/>
      <c r="H341" s="11"/>
      <c r="I341" s="11"/>
      <c r="J341" s="249"/>
      <c r="K341" s="72"/>
      <c r="L341" s="73"/>
      <c r="M341" s="73"/>
      <c r="N341" s="74"/>
      <c r="O341" s="75"/>
      <c r="P341" s="73"/>
      <c r="Q341" s="76"/>
      <c r="R341" s="76"/>
      <c r="S341" s="76"/>
      <c r="T341" s="76"/>
      <c r="U341" s="76"/>
      <c r="V341" s="76"/>
      <c r="W341" s="76"/>
      <c r="X341" s="76"/>
      <c r="Y341" s="76"/>
      <c r="Z341" s="77"/>
      <c r="AA341" s="77"/>
      <c r="AB341" s="77"/>
      <c r="AC341" s="77"/>
      <c r="AD341" s="77"/>
      <c r="AE341" s="77"/>
      <c r="AF341" s="77"/>
      <c r="AG341" s="77"/>
      <c r="AH341" s="78"/>
      <c r="AI341" s="78"/>
      <c r="AJ341" s="78"/>
      <c r="AK341" s="78"/>
      <c r="AL341" s="78"/>
      <c r="AM341" s="78"/>
      <c r="AN341" s="76"/>
      <c r="AO341" s="76"/>
      <c r="AP341" s="76"/>
      <c r="AQ341" s="76"/>
      <c r="AR341" s="76"/>
      <c r="AS341" s="76"/>
      <c r="AT341" s="76"/>
      <c r="AU341" s="76"/>
      <c r="AV341" s="76"/>
      <c r="AW341" s="79"/>
      <c r="AX341" s="79"/>
      <c r="AY341" s="79"/>
      <c r="AZ341" s="79"/>
      <c r="BA341" s="79"/>
      <c r="BB341" s="11"/>
      <c r="BC341" s="11"/>
      <c r="BD341" s="11"/>
      <c r="BE341" s="73"/>
      <c r="BF341" s="73"/>
      <c r="BG341" s="73"/>
      <c r="BH341" s="77"/>
      <c r="BI341" s="77"/>
      <c r="BJ341" s="77"/>
      <c r="BK341" s="77"/>
      <c r="BL341" s="77"/>
      <c r="BM341" s="77"/>
      <c r="BN341" s="158"/>
      <c r="BO341" s="158"/>
    </row>
    <row r="342" spans="1:67" ht="15" x14ac:dyDescent="0.25">
      <c r="A342" s="71"/>
      <c r="B342" s="11"/>
      <c r="C342" s="11"/>
      <c r="D342" s="11"/>
      <c r="E342" s="11"/>
      <c r="F342" s="11"/>
      <c r="G342" s="11"/>
      <c r="H342" s="11"/>
      <c r="I342" s="11"/>
      <c r="J342" s="249"/>
      <c r="K342" s="72"/>
      <c r="L342" s="73"/>
      <c r="M342" s="73"/>
      <c r="N342" s="74"/>
      <c r="O342" s="75"/>
      <c r="P342" s="73"/>
      <c r="Q342" s="76"/>
      <c r="R342" s="76"/>
      <c r="S342" s="76"/>
      <c r="T342" s="76"/>
      <c r="U342" s="76"/>
      <c r="V342" s="76"/>
      <c r="W342" s="76"/>
      <c r="X342" s="76"/>
      <c r="Y342" s="76"/>
      <c r="Z342" s="77"/>
      <c r="AA342" s="77"/>
      <c r="AB342" s="77"/>
      <c r="AC342" s="77"/>
      <c r="AD342" s="77"/>
      <c r="AE342" s="77"/>
      <c r="AF342" s="77"/>
      <c r="AG342" s="77"/>
      <c r="AH342" s="78"/>
      <c r="AI342" s="78"/>
      <c r="AJ342" s="78"/>
      <c r="AK342" s="78"/>
      <c r="AL342" s="78"/>
      <c r="AM342" s="78"/>
      <c r="AN342" s="76"/>
      <c r="AO342" s="76"/>
      <c r="AP342" s="76"/>
      <c r="AQ342" s="76"/>
      <c r="AR342" s="76"/>
      <c r="AS342" s="76"/>
      <c r="AT342" s="76"/>
      <c r="AU342" s="76"/>
      <c r="AV342" s="76"/>
      <c r="AW342" s="79"/>
      <c r="AX342" s="79"/>
      <c r="AY342" s="79"/>
      <c r="AZ342" s="79"/>
      <c r="BA342" s="79"/>
      <c r="BB342" s="11"/>
      <c r="BC342" s="11"/>
      <c r="BD342" s="11"/>
      <c r="BE342" s="73"/>
      <c r="BF342" s="73"/>
      <c r="BG342" s="73"/>
      <c r="BH342" s="77"/>
      <c r="BI342" s="77"/>
      <c r="BJ342" s="77"/>
      <c r="BK342" s="77"/>
      <c r="BL342" s="77"/>
      <c r="BM342" s="77"/>
      <c r="BN342" s="158"/>
      <c r="BO342" s="158"/>
    </row>
    <row r="343" spans="1:67" ht="15" x14ac:dyDescent="0.25">
      <c r="A343" s="71"/>
      <c r="B343" s="11"/>
      <c r="C343" s="11"/>
      <c r="D343" s="11"/>
      <c r="E343" s="11"/>
      <c r="F343" s="11"/>
      <c r="G343" s="11"/>
      <c r="H343" s="11"/>
      <c r="I343" s="11"/>
      <c r="J343" s="249"/>
      <c r="K343" s="72"/>
      <c r="L343" s="73"/>
      <c r="M343" s="73"/>
      <c r="N343" s="74"/>
      <c r="O343" s="75"/>
      <c r="P343" s="73"/>
      <c r="Q343" s="76"/>
      <c r="R343" s="76"/>
      <c r="S343" s="76"/>
      <c r="T343" s="76"/>
      <c r="U343" s="76"/>
      <c r="V343" s="76"/>
      <c r="W343" s="76"/>
      <c r="X343" s="76"/>
      <c r="Y343" s="76"/>
      <c r="Z343" s="77"/>
      <c r="AA343" s="77"/>
      <c r="AB343" s="77"/>
      <c r="AC343" s="77"/>
      <c r="AD343" s="77"/>
      <c r="AE343" s="77"/>
      <c r="AF343" s="77"/>
      <c r="AG343" s="77"/>
      <c r="AH343" s="78"/>
      <c r="AI343" s="78"/>
      <c r="AJ343" s="78"/>
      <c r="AK343" s="78"/>
      <c r="AL343" s="78"/>
      <c r="AM343" s="78"/>
      <c r="AN343" s="76"/>
      <c r="AO343" s="76"/>
      <c r="AP343" s="76"/>
      <c r="AQ343" s="76"/>
      <c r="AR343" s="76"/>
      <c r="AS343" s="76"/>
      <c r="AT343" s="76"/>
      <c r="AU343" s="76"/>
      <c r="AV343" s="76"/>
      <c r="AW343" s="79"/>
      <c r="AX343" s="79"/>
      <c r="AY343" s="79"/>
      <c r="AZ343" s="79"/>
      <c r="BA343" s="79"/>
      <c r="BB343" s="11"/>
      <c r="BC343" s="11"/>
      <c r="BD343" s="11"/>
      <c r="BE343" s="73"/>
      <c r="BF343" s="73"/>
      <c r="BG343" s="73"/>
      <c r="BH343" s="77"/>
      <c r="BI343" s="77"/>
      <c r="BJ343" s="77"/>
      <c r="BK343" s="77"/>
      <c r="BL343" s="77"/>
      <c r="BM343" s="77"/>
      <c r="BN343" s="158"/>
      <c r="BO343" s="158"/>
    </row>
    <row r="344" spans="1:67" ht="15" x14ac:dyDescent="0.25">
      <c r="A344" s="71"/>
      <c r="B344" s="11"/>
      <c r="C344" s="11"/>
      <c r="D344" s="11"/>
      <c r="E344" s="11"/>
      <c r="F344" s="11"/>
      <c r="G344" s="11"/>
      <c r="H344" s="11"/>
      <c r="I344" s="11"/>
      <c r="J344" s="249"/>
      <c r="K344" s="72"/>
      <c r="L344" s="73"/>
      <c r="M344" s="73"/>
      <c r="N344" s="74"/>
      <c r="O344" s="75"/>
      <c r="P344" s="73"/>
      <c r="Q344" s="76"/>
      <c r="R344" s="76"/>
      <c r="S344" s="76"/>
      <c r="T344" s="76"/>
      <c r="U344" s="76"/>
      <c r="V344" s="76"/>
      <c r="W344" s="76"/>
      <c r="X344" s="76"/>
      <c r="Y344" s="76"/>
      <c r="Z344" s="77"/>
      <c r="AA344" s="77"/>
      <c r="AB344" s="77"/>
      <c r="AC344" s="77"/>
      <c r="AD344" s="77"/>
      <c r="AE344" s="77"/>
      <c r="AF344" s="77"/>
      <c r="AG344" s="77"/>
      <c r="AH344" s="78"/>
      <c r="AI344" s="78"/>
      <c r="AJ344" s="78"/>
      <c r="AK344" s="78"/>
      <c r="AL344" s="78"/>
      <c r="AM344" s="78"/>
      <c r="AN344" s="76"/>
      <c r="AO344" s="76"/>
      <c r="AP344" s="76"/>
      <c r="AQ344" s="76"/>
      <c r="AR344" s="76"/>
      <c r="AS344" s="76"/>
      <c r="AT344" s="76"/>
      <c r="AU344" s="76"/>
      <c r="AV344" s="76"/>
      <c r="AW344" s="79"/>
      <c r="AX344" s="79"/>
      <c r="AY344" s="79"/>
      <c r="AZ344" s="79"/>
      <c r="BA344" s="79"/>
      <c r="BB344" s="11"/>
      <c r="BC344" s="11"/>
      <c r="BD344" s="11"/>
      <c r="BE344" s="73"/>
      <c r="BF344" s="73"/>
      <c r="BG344" s="73"/>
      <c r="BH344" s="77"/>
      <c r="BI344" s="77"/>
      <c r="BJ344" s="77"/>
      <c r="BK344" s="77"/>
      <c r="BL344" s="77"/>
      <c r="BM344" s="77"/>
      <c r="BN344" s="158"/>
      <c r="BO344" s="158"/>
    </row>
    <row r="345" spans="1:67" ht="15" x14ac:dyDescent="0.25">
      <c r="A345" s="71"/>
      <c r="B345" s="11"/>
      <c r="C345" s="11"/>
      <c r="D345" s="11"/>
      <c r="E345" s="11"/>
      <c r="F345" s="11"/>
      <c r="G345" s="11"/>
      <c r="H345" s="11"/>
      <c r="I345" s="11"/>
      <c r="J345" s="249"/>
      <c r="K345" s="72"/>
      <c r="L345" s="73"/>
      <c r="M345" s="73"/>
      <c r="N345" s="74"/>
      <c r="O345" s="75"/>
      <c r="P345" s="73"/>
      <c r="Q345" s="76"/>
      <c r="R345" s="76"/>
      <c r="S345" s="76"/>
      <c r="T345" s="76"/>
      <c r="U345" s="76"/>
      <c r="V345" s="76"/>
      <c r="W345" s="76"/>
      <c r="X345" s="76"/>
      <c r="Y345" s="76"/>
      <c r="Z345" s="77"/>
      <c r="AA345" s="77"/>
      <c r="AB345" s="77"/>
      <c r="AC345" s="77"/>
      <c r="AD345" s="77"/>
      <c r="AE345" s="77"/>
      <c r="AF345" s="77"/>
      <c r="AG345" s="77"/>
      <c r="AH345" s="78"/>
      <c r="AI345" s="78"/>
      <c r="AJ345" s="78"/>
      <c r="AK345" s="78"/>
      <c r="AL345" s="78"/>
      <c r="AM345" s="78"/>
      <c r="AN345" s="76"/>
      <c r="AO345" s="76"/>
      <c r="AP345" s="76"/>
      <c r="AQ345" s="76"/>
      <c r="AR345" s="76"/>
      <c r="AS345" s="76"/>
      <c r="AT345" s="76"/>
      <c r="AU345" s="76"/>
      <c r="AV345" s="76"/>
      <c r="AW345" s="79"/>
      <c r="AX345" s="79"/>
      <c r="AY345" s="79"/>
      <c r="AZ345" s="79"/>
      <c r="BA345" s="79"/>
      <c r="BB345" s="11"/>
      <c r="BC345" s="11"/>
      <c r="BD345" s="11"/>
      <c r="BE345" s="73"/>
      <c r="BF345" s="73"/>
      <c r="BG345" s="73"/>
      <c r="BH345" s="77"/>
      <c r="BI345" s="77"/>
      <c r="BJ345" s="77"/>
      <c r="BK345" s="77"/>
      <c r="BL345" s="77"/>
      <c r="BM345" s="77"/>
      <c r="BN345" s="158"/>
      <c r="BO345" s="158"/>
    </row>
    <row r="346" spans="1:67" ht="15" x14ac:dyDescent="0.25">
      <c r="A346" s="71"/>
      <c r="B346" s="11"/>
      <c r="C346" s="11"/>
      <c r="D346" s="11"/>
      <c r="E346" s="11"/>
      <c r="F346" s="11"/>
      <c r="G346" s="11"/>
      <c r="H346" s="11"/>
      <c r="I346" s="11"/>
      <c r="J346" s="249"/>
      <c r="K346" s="72"/>
      <c r="L346" s="73"/>
      <c r="M346" s="73"/>
      <c r="N346" s="74"/>
      <c r="O346" s="75"/>
      <c r="P346" s="73"/>
      <c r="Q346" s="76"/>
      <c r="R346" s="76"/>
      <c r="S346" s="76"/>
      <c r="T346" s="76"/>
      <c r="U346" s="76"/>
      <c r="V346" s="76"/>
      <c r="W346" s="76"/>
      <c r="X346" s="76"/>
      <c r="Y346" s="76"/>
      <c r="Z346" s="77"/>
      <c r="AA346" s="77"/>
      <c r="AB346" s="77"/>
      <c r="AC346" s="77"/>
      <c r="AD346" s="77"/>
      <c r="AE346" s="77"/>
      <c r="AF346" s="77"/>
      <c r="AG346" s="77"/>
      <c r="AH346" s="78"/>
      <c r="AI346" s="78"/>
      <c r="AJ346" s="78"/>
      <c r="AK346" s="78"/>
      <c r="AL346" s="78"/>
      <c r="AM346" s="78"/>
      <c r="AN346" s="76"/>
      <c r="AO346" s="76"/>
      <c r="AP346" s="76"/>
      <c r="AQ346" s="76"/>
      <c r="AR346" s="76"/>
      <c r="AS346" s="76"/>
      <c r="AT346" s="76"/>
      <c r="AU346" s="76"/>
      <c r="AV346" s="76"/>
      <c r="AW346" s="79"/>
      <c r="AX346" s="79"/>
      <c r="AY346" s="79"/>
      <c r="AZ346" s="79"/>
      <c r="BA346" s="79"/>
      <c r="BB346" s="11"/>
      <c r="BC346" s="11"/>
      <c r="BD346" s="11"/>
      <c r="BE346" s="73"/>
      <c r="BF346" s="73"/>
      <c r="BG346" s="73"/>
      <c r="BH346" s="77"/>
      <c r="BI346" s="77"/>
      <c r="BJ346" s="77"/>
      <c r="BK346" s="77"/>
      <c r="BL346" s="77"/>
      <c r="BM346" s="77"/>
      <c r="BN346" s="158"/>
      <c r="BO346" s="158"/>
    </row>
    <row r="347" spans="1:67" ht="15" x14ac:dyDescent="0.25">
      <c r="A347" s="71"/>
      <c r="B347" s="11"/>
      <c r="C347" s="11"/>
      <c r="D347" s="11"/>
      <c r="E347" s="11"/>
      <c r="F347" s="11"/>
      <c r="G347" s="11"/>
      <c r="H347" s="11"/>
      <c r="I347" s="11"/>
      <c r="J347" s="249"/>
      <c r="K347" s="72"/>
      <c r="L347" s="73"/>
      <c r="M347" s="73"/>
      <c r="N347" s="74"/>
      <c r="O347" s="75"/>
      <c r="P347" s="73"/>
      <c r="Q347" s="76"/>
      <c r="R347" s="76"/>
      <c r="S347" s="76"/>
      <c r="T347" s="76"/>
      <c r="U347" s="76"/>
      <c r="V347" s="76"/>
      <c r="W347" s="76"/>
      <c r="X347" s="76"/>
      <c r="Y347" s="76"/>
      <c r="Z347" s="77"/>
      <c r="AA347" s="77"/>
      <c r="AB347" s="77"/>
      <c r="AC347" s="77"/>
      <c r="AD347" s="77"/>
      <c r="AE347" s="77"/>
      <c r="AF347" s="77"/>
      <c r="AG347" s="77"/>
      <c r="AH347" s="78"/>
      <c r="AI347" s="78"/>
      <c r="AJ347" s="78"/>
      <c r="AK347" s="78"/>
      <c r="AL347" s="78"/>
      <c r="AM347" s="78"/>
      <c r="AN347" s="76"/>
      <c r="AO347" s="76"/>
      <c r="AP347" s="76"/>
      <c r="AQ347" s="76"/>
      <c r="AR347" s="76"/>
      <c r="AS347" s="76"/>
      <c r="AT347" s="76"/>
      <c r="AU347" s="76"/>
      <c r="AV347" s="76"/>
      <c r="AW347" s="79"/>
      <c r="AX347" s="79"/>
      <c r="AY347" s="79"/>
      <c r="AZ347" s="79"/>
      <c r="BA347" s="79"/>
      <c r="BB347" s="11"/>
      <c r="BC347" s="11"/>
      <c r="BD347" s="11"/>
      <c r="BE347" s="73"/>
      <c r="BF347" s="73"/>
      <c r="BG347" s="73"/>
      <c r="BH347" s="77"/>
      <c r="BI347" s="77"/>
      <c r="BJ347" s="77"/>
      <c r="BK347" s="77"/>
      <c r="BL347" s="77"/>
      <c r="BM347" s="77"/>
      <c r="BN347" s="158"/>
      <c r="BO347" s="158"/>
    </row>
    <row r="348" spans="1:67" ht="15" x14ac:dyDescent="0.25">
      <c r="A348" s="71"/>
      <c r="B348" s="11"/>
      <c r="C348" s="11"/>
      <c r="D348" s="11"/>
      <c r="E348" s="11"/>
      <c r="F348" s="11"/>
      <c r="G348" s="11"/>
      <c r="H348" s="11"/>
      <c r="I348" s="11"/>
      <c r="J348" s="249"/>
      <c r="K348" s="72"/>
      <c r="L348" s="73"/>
      <c r="M348" s="73"/>
      <c r="N348" s="74"/>
      <c r="O348" s="75"/>
      <c r="P348" s="73"/>
      <c r="Q348" s="76"/>
      <c r="R348" s="76"/>
      <c r="S348" s="76"/>
      <c r="T348" s="76"/>
      <c r="U348" s="76"/>
      <c r="V348" s="76"/>
      <c r="W348" s="76"/>
      <c r="X348" s="76"/>
      <c r="Y348" s="76"/>
      <c r="Z348" s="77"/>
      <c r="AA348" s="77"/>
      <c r="AB348" s="77"/>
      <c r="AC348" s="77"/>
      <c r="AD348" s="77"/>
      <c r="AE348" s="77"/>
      <c r="AF348" s="77"/>
      <c r="AG348" s="77"/>
      <c r="AH348" s="78"/>
      <c r="AI348" s="78"/>
      <c r="AJ348" s="78"/>
      <c r="AK348" s="78"/>
      <c r="AL348" s="78"/>
      <c r="AM348" s="78"/>
      <c r="AN348" s="76"/>
      <c r="AO348" s="76"/>
      <c r="AP348" s="76"/>
      <c r="AQ348" s="76"/>
      <c r="AR348" s="76"/>
      <c r="AS348" s="76"/>
      <c r="AT348" s="76"/>
      <c r="AU348" s="76"/>
      <c r="AV348" s="76"/>
      <c r="AW348" s="79"/>
      <c r="AX348" s="79"/>
      <c r="AY348" s="79"/>
      <c r="AZ348" s="79"/>
      <c r="BA348" s="79"/>
      <c r="BB348" s="11"/>
      <c r="BC348" s="11"/>
      <c r="BD348" s="11"/>
      <c r="BE348" s="73"/>
      <c r="BF348" s="73"/>
      <c r="BG348" s="73"/>
      <c r="BH348" s="77"/>
      <c r="BI348" s="77"/>
      <c r="BJ348" s="77"/>
      <c r="BK348" s="77"/>
      <c r="BL348" s="77"/>
      <c r="BM348" s="77"/>
      <c r="BN348" s="158"/>
      <c r="BO348" s="158"/>
    </row>
    <row r="349" spans="1:67" ht="15" x14ac:dyDescent="0.25">
      <c r="A349" s="71"/>
      <c r="B349" s="11"/>
      <c r="C349" s="11"/>
      <c r="D349" s="11"/>
      <c r="E349" s="11"/>
      <c r="F349" s="11"/>
      <c r="G349" s="11"/>
      <c r="H349" s="11"/>
      <c r="I349" s="11"/>
      <c r="J349" s="249"/>
      <c r="K349" s="72"/>
      <c r="L349" s="73"/>
      <c r="M349" s="73"/>
      <c r="N349" s="74"/>
      <c r="O349" s="75"/>
      <c r="P349" s="73"/>
      <c r="Q349" s="76"/>
      <c r="R349" s="76"/>
      <c r="S349" s="76"/>
      <c r="T349" s="76"/>
      <c r="U349" s="76"/>
      <c r="V349" s="76"/>
      <c r="W349" s="76"/>
      <c r="X349" s="76"/>
      <c r="Y349" s="76"/>
      <c r="Z349" s="77"/>
      <c r="AA349" s="77"/>
      <c r="AB349" s="77"/>
      <c r="AC349" s="77"/>
      <c r="AD349" s="77"/>
      <c r="AE349" s="77"/>
      <c r="AF349" s="77"/>
      <c r="AG349" s="77"/>
      <c r="AH349" s="78"/>
      <c r="AI349" s="78"/>
      <c r="AJ349" s="78"/>
      <c r="AK349" s="78"/>
      <c r="AL349" s="78"/>
      <c r="AM349" s="78"/>
      <c r="AN349" s="76"/>
      <c r="AO349" s="76"/>
      <c r="AP349" s="76"/>
      <c r="AQ349" s="76"/>
      <c r="AR349" s="76"/>
      <c r="AS349" s="76"/>
      <c r="AT349" s="76"/>
      <c r="AU349" s="76"/>
      <c r="AV349" s="76"/>
      <c r="AW349" s="79"/>
      <c r="AX349" s="79"/>
      <c r="AY349" s="79"/>
      <c r="AZ349" s="79"/>
      <c r="BA349" s="79"/>
      <c r="BB349" s="11"/>
      <c r="BC349" s="11"/>
      <c r="BD349" s="11"/>
      <c r="BE349" s="73"/>
      <c r="BF349" s="73"/>
      <c r="BG349" s="73"/>
      <c r="BH349" s="77"/>
      <c r="BI349" s="77"/>
      <c r="BJ349" s="77"/>
      <c r="BK349" s="77"/>
      <c r="BL349" s="77"/>
      <c r="BM349" s="77"/>
      <c r="BN349" s="158"/>
      <c r="BO349" s="158"/>
    </row>
    <row r="350" spans="1:67" ht="15" x14ac:dyDescent="0.25">
      <c r="A350" s="71"/>
      <c r="B350" s="11"/>
      <c r="C350" s="11"/>
      <c r="D350" s="11"/>
      <c r="E350" s="11"/>
      <c r="F350" s="11"/>
      <c r="G350" s="11"/>
      <c r="H350" s="11"/>
      <c r="I350" s="11"/>
      <c r="J350" s="249"/>
      <c r="K350" s="72"/>
      <c r="L350" s="73"/>
      <c r="M350" s="73"/>
      <c r="N350" s="74"/>
      <c r="O350" s="75"/>
      <c r="P350" s="73"/>
      <c r="Q350" s="76"/>
      <c r="R350" s="76"/>
      <c r="S350" s="76"/>
      <c r="T350" s="76"/>
      <c r="U350" s="76"/>
      <c r="V350" s="76"/>
      <c r="W350" s="76"/>
      <c r="X350" s="76"/>
      <c r="Y350" s="76"/>
      <c r="Z350" s="77"/>
      <c r="AA350" s="77"/>
      <c r="AB350" s="77"/>
      <c r="AC350" s="77"/>
      <c r="AD350" s="77"/>
      <c r="AE350" s="77"/>
      <c r="AF350" s="77"/>
      <c r="AG350" s="77"/>
      <c r="AH350" s="78"/>
      <c r="AI350" s="78"/>
      <c r="AJ350" s="78"/>
      <c r="AK350" s="78"/>
      <c r="AL350" s="78"/>
      <c r="AM350" s="78"/>
      <c r="AN350" s="76"/>
      <c r="AO350" s="76"/>
      <c r="AP350" s="76"/>
      <c r="AQ350" s="76"/>
      <c r="AR350" s="76"/>
      <c r="AS350" s="76"/>
      <c r="AT350" s="76"/>
      <c r="AU350" s="76"/>
      <c r="AV350" s="76"/>
      <c r="AW350" s="79"/>
      <c r="AX350" s="79"/>
      <c r="AY350" s="79"/>
      <c r="AZ350" s="79"/>
      <c r="BA350" s="79"/>
      <c r="BB350" s="11"/>
      <c r="BC350" s="11"/>
      <c r="BD350" s="11"/>
      <c r="BE350" s="73"/>
      <c r="BF350" s="73"/>
      <c r="BG350" s="73"/>
      <c r="BH350" s="77"/>
      <c r="BI350" s="77"/>
      <c r="BJ350" s="77"/>
      <c r="BK350" s="77"/>
      <c r="BL350" s="77"/>
      <c r="BM350" s="77"/>
      <c r="BN350" s="158"/>
      <c r="BO350" s="158"/>
    </row>
    <row r="351" spans="1:67" ht="15" x14ac:dyDescent="0.25">
      <c r="A351" s="71"/>
      <c r="B351" s="11"/>
      <c r="C351" s="11"/>
      <c r="D351" s="11"/>
      <c r="E351" s="11"/>
      <c r="F351" s="11"/>
      <c r="G351" s="11"/>
      <c r="H351" s="11"/>
      <c r="I351" s="11"/>
      <c r="J351" s="249"/>
      <c r="K351" s="72"/>
      <c r="L351" s="73"/>
      <c r="M351" s="73"/>
      <c r="N351" s="74"/>
      <c r="O351" s="75"/>
      <c r="P351" s="73"/>
      <c r="Q351" s="76"/>
      <c r="R351" s="76"/>
      <c r="S351" s="76"/>
      <c r="T351" s="76"/>
      <c r="U351" s="76"/>
      <c r="V351" s="76"/>
      <c r="W351" s="76"/>
      <c r="X351" s="76"/>
      <c r="Y351" s="76"/>
      <c r="Z351" s="77"/>
      <c r="AA351" s="77"/>
      <c r="AB351" s="77"/>
      <c r="AC351" s="77"/>
      <c r="AD351" s="77"/>
      <c r="AE351" s="77"/>
      <c r="AF351" s="77"/>
      <c r="AG351" s="77"/>
      <c r="AH351" s="78"/>
      <c r="AI351" s="78"/>
      <c r="AJ351" s="78"/>
      <c r="AK351" s="78"/>
      <c r="AL351" s="78"/>
      <c r="AM351" s="78"/>
      <c r="AN351" s="76"/>
      <c r="AO351" s="76"/>
      <c r="AP351" s="76"/>
      <c r="AQ351" s="76"/>
      <c r="AR351" s="76"/>
      <c r="AS351" s="76"/>
      <c r="AT351" s="76"/>
      <c r="AU351" s="76"/>
      <c r="AV351" s="76"/>
      <c r="AW351" s="79"/>
      <c r="AX351" s="79"/>
      <c r="AY351" s="79"/>
      <c r="AZ351" s="79"/>
      <c r="BA351" s="79"/>
      <c r="BB351" s="11"/>
      <c r="BC351" s="11"/>
      <c r="BD351" s="11"/>
      <c r="BE351" s="73"/>
      <c r="BF351" s="73"/>
      <c r="BG351" s="73"/>
      <c r="BH351" s="77"/>
      <c r="BI351" s="77"/>
      <c r="BJ351" s="77"/>
      <c r="BK351" s="77"/>
      <c r="BL351" s="77"/>
      <c r="BM351" s="77"/>
      <c r="BN351" s="158"/>
      <c r="BO351" s="158"/>
    </row>
    <row r="352" spans="1:67" ht="15" x14ac:dyDescent="0.25">
      <c r="A352" s="71"/>
      <c r="B352" s="11"/>
      <c r="C352" s="11"/>
      <c r="D352" s="11"/>
      <c r="E352" s="11"/>
      <c r="F352" s="11"/>
      <c r="G352" s="11"/>
      <c r="H352" s="11"/>
      <c r="I352" s="11"/>
      <c r="J352" s="249"/>
      <c r="K352" s="72"/>
      <c r="L352" s="73"/>
      <c r="M352" s="73"/>
      <c r="N352" s="74"/>
      <c r="O352" s="75"/>
      <c r="P352" s="73"/>
      <c r="Q352" s="76"/>
      <c r="R352" s="76"/>
      <c r="S352" s="76"/>
      <c r="T352" s="76"/>
      <c r="U352" s="76"/>
      <c r="V352" s="76"/>
      <c r="W352" s="76"/>
      <c r="X352" s="76"/>
      <c r="Y352" s="76"/>
      <c r="Z352" s="77"/>
      <c r="AA352" s="77"/>
      <c r="AB352" s="77"/>
      <c r="AC352" s="77"/>
      <c r="AD352" s="77"/>
      <c r="AE352" s="77"/>
      <c r="AF352" s="77"/>
      <c r="AG352" s="77"/>
      <c r="AH352" s="78"/>
      <c r="AI352" s="78"/>
      <c r="AJ352" s="78"/>
      <c r="AK352" s="78"/>
      <c r="AL352" s="78"/>
      <c r="AM352" s="78"/>
      <c r="AN352" s="76"/>
      <c r="AO352" s="76"/>
      <c r="AP352" s="76"/>
      <c r="AQ352" s="76"/>
      <c r="AR352" s="76"/>
      <c r="AS352" s="76"/>
      <c r="AT352" s="76"/>
      <c r="AU352" s="76"/>
      <c r="AV352" s="76"/>
      <c r="AW352" s="79"/>
      <c r="AX352" s="79"/>
      <c r="AY352" s="79"/>
      <c r="AZ352" s="79"/>
      <c r="BA352" s="79"/>
      <c r="BB352" s="11"/>
      <c r="BC352" s="11"/>
      <c r="BD352" s="11"/>
      <c r="BE352" s="73"/>
      <c r="BF352" s="73"/>
      <c r="BG352" s="73"/>
      <c r="BH352" s="77"/>
      <c r="BI352" s="77"/>
      <c r="BJ352" s="77"/>
      <c r="BK352" s="77"/>
      <c r="BL352" s="77"/>
      <c r="BM352" s="77"/>
      <c r="BN352" s="158"/>
      <c r="BO352" s="158"/>
    </row>
    <row r="353" spans="1:67" ht="15" x14ac:dyDescent="0.25">
      <c r="A353" s="71"/>
      <c r="B353" s="11"/>
      <c r="C353" s="11"/>
      <c r="D353" s="11"/>
      <c r="E353" s="11"/>
      <c r="F353" s="11"/>
      <c r="G353" s="11"/>
      <c r="H353" s="11"/>
      <c r="I353" s="11"/>
      <c r="J353" s="249"/>
      <c r="K353" s="72"/>
      <c r="L353" s="73"/>
      <c r="M353" s="73"/>
      <c r="N353" s="74"/>
      <c r="O353" s="75"/>
      <c r="P353" s="73"/>
      <c r="Q353" s="76"/>
      <c r="R353" s="76"/>
      <c r="S353" s="76"/>
      <c r="T353" s="76"/>
      <c r="U353" s="76"/>
      <c r="V353" s="76"/>
      <c r="W353" s="76"/>
      <c r="X353" s="76"/>
      <c r="Y353" s="76"/>
      <c r="Z353" s="77"/>
      <c r="AA353" s="77"/>
      <c r="AB353" s="77"/>
      <c r="AC353" s="77"/>
      <c r="AD353" s="77"/>
      <c r="AE353" s="77"/>
      <c r="AF353" s="77"/>
      <c r="AG353" s="77"/>
      <c r="AH353" s="78"/>
      <c r="AI353" s="78"/>
      <c r="AJ353" s="78"/>
      <c r="AK353" s="78"/>
      <c r="AL353" s="78"/>
      <c r="AM353" s="78"/>
      <c r="AN353" s="76"/>
      <c r="AO353" s="76"/>
      <c r="AP353" s="76"/>
      <c r="AQ353" s="76"/>
      <c r="AR353" s="76"/>
      <c r="AS353" s="76"/>
      <c r="AT353" s="76"/>
      <c r="AU353" s="76"/>
      <c r="AV353" s="76"/>
      <c r="AW353" s="79"/>
      <c r="AX353" s="79"/>
      <c r="AY353" s="79"/>
      <c r="AZ353" s="79"/>
      <c r="BA353" s="79"/>
      <c r="BB353" s="11"/>
      <c r="BC353" s="11"/>
      <c r="BD353" s="11"/>
      <c r="BE353" s="73"/>
      <c r="BF353" s="73"/>
      <c r="BG353" s="73"/>
      <c r="BH353" s="77"/>
      <c r="BI353" s="77"/>
      <c r="BJ353" s="77"/>
      <c r="BK353" s="77"/>
      <c r="BL353" s="77"/>
      <c r="BM353" s="77"/>
      <c r="BN353" s="158"/>
      <c r="BO353" s="158"/>
    </row>
    <row r="354" spans="1:67" ht="15" x14ac:dyDescent="0.25">
      <c r="A354" s="71"/>
      <c r="B354" s="11"/>
      <c r="C354" s="11"/>
      <c r="D354" s="11"/>
      <c r="E354" s="11"/>
      <c r="F354" s="11"/>
      <c r="G354" s="11"/>
      <c r="H354" s="11"/>
      <c r="I354" s="11"/>
      <c r="J354" s="249"/>
      <c r="K354" s="72"/>
      <c r="L354" s="73"/>
      <c r="M354" s="73"/>
      <c r="N354" s="74"/>
      <c r="O354" s="75"/>
      <c r="P354" s="73"/>
      <c r="Q354" s="76"/>
      <c r="R354" s="76"/>
      <c r="S354" s="76"/>
      <c r="T354" s="76"/>
      <c r="U354" s="76"/>
      <c r="V354" s="76"/>
      <c r="W354" s="76"/>
      <c r="X354" s="76"/>
      <c r="Y354" s="76"/>
      <c r="Z354" s="77"/>
      <c r="AA354" s="77"/>
      <c r="AB354" s="77"/>
      <c r="AC354" s="77"/>
      <c r="AD354" s="77"/>
      <c r="AE354" s="77"/>
      <c r="AF354" s="77"/>
      <c r="AG354" s="77"/>
      <c r="AH354" s="78"/>
      <c r="AI354" s="78"/>
      <c r="AJ354" s="78"/>
      <c r="AK354" s="78"/>
      <c r="AL354" s="78"/>
      <c r="AM354" s="78"/>
      <c r="AN354" s="76"/>
      <c r="AO354" s="76"/>
      <c r="AP354" s="76"/>
      <c r="AQ354" s="76"/>
      <c r="AR354" s="76"/>
      <c r="AS354" s="76"/>
      <c r="AT354" s="76"/>
      <c r="AU354" s="76"/>
      <c r="AV354" s="76"/>
      <c r="AW354" s="79"/>
      <c r="AX354" s="79"/>
      <c r="AY354" s="79"/>
      <c r="AZ354" s="79"/>
      <c r="BA354" s="79"/>
      <c r="BB354" s="11"/>
      <c r="BC354" s="11"/>
      <c r="BD354" s="11"/>
      <c r="BE354" s="73"/>
      <c r="BF354" s="73"/>
      <c r="BG354" s="73"/>
      <c r="BH354" s="77"/>
      <c r="BI354" s="77"/>
      <c r="BJ354" s="77"/>
      <c r="BK354" s="77"/>
      <c r="BL354" s="77"/>
      <c r="BM354" s="77"/>
      <c r="BN354" s="158"/>
      <c r="BO354" s="158"/>
    </row>
    <row r="355" spans="1:67" ht="15" x14ac:dyDescent="0.25">
      <c r="A355" s="71"/>
      <c r="B355" s="11"/>
      <c r="C355" s="11"/>
      <c r="D355" s="11"/>
      <c r="E355" s="11"/>
      <c r="F355" s="11"/>
      <c r="G355" s="11"/>
      <c r="H355" s="11"/>
      <c r="I355" s="11"/>
      <c r="J355" s="249"/>
      <c r="K355" s="72"/>
      <c r="L355" s="73"/>
      <c r="M355" s="73"/>
      <c r="N355" s="74"/>
      <c r="O355" s="75"/>
      <c r="P355" s="73"/>
      <c r="Q355" s="76"/>
      <c r="R355" s="76"/>
      <c r="S355" s="76"/>
      <c r="T355" s="76"/>
      <c r="U355" s="76"/>
      <c r="V355" s="76"/>
      <c r="W355" s="76"/>
      <c r="X355" s="76"/>
      <c r="Y355" s="76"/>
      <c r="Z355" s="77"/>
      <c r="AA355" s="77"/>
      <c r="AB355" s="77"/>
      <c r="AC355" s="77"/>
      <c r="AD355" s="77"/>
      <c r="AE355" s="77"/>
      <c r="AF355" s="77"/>
      <c r="AG355" s="77"/>
      <c r="AH355" s="78"/>
      <c r="AI355" s="78"/>
      <c r="AJ355" s="78"/>
      <c r="AK355" s="78"/>
      <c r="AL355" s="78"/>
      <c r="AM355" s="78"/>
      <c r="AN355" s="76"/>
      <c r="AO355" s="76"/>
      <c r="AP355" s="76"/>
      <c r="AQ355" s="76"/>
      <c r="AR355" s="76"/>
      <c r="AS355" s="76"/>
      <c r="AT355" s="76"/>
      <c r="AU355" s="76"/>
      <c r="AV355" s="76"/>
      <c r="AW355" s="79"/>
      <c r="AX355" s="79"/>
      <c r="AY355" s="79"/>
      <c r="AZ355" s="79"/>
      <c r="BA355" s="79"/>
      <c r="BB355" s="11"/>
      <c r="BC355" s="11"/>
      <c r="BD355" s="11"/>
      <c r="BE355" s="73"/>
      <c r="BF355" s="73"/>
      <c r="BG355" s="73"/>
      <c r="BH355" s="77"/>
      <c r="BI355" s="77"/>
      <c r="BJ355" s="77"/>
      <c r="BK355" s="77"/>
      <c r="BL355" s="77"/>
      <c r="BM355" s="77"/>
      <c r="BN355" s="158"/>
      <c r="BO355" s="158"/>
    </row>
    <row r="356" spans="1:67" ht="15" x14ac:dyDescent="0.25">
      <c r="A356" s="71"/>
      <c r="B356" s="11"/>
      <c r="C356" s="11"/>
      <c r="D356" s="11"/>
      <c r="E356" s="11"/>
      <c r="F356" s="11"/>
      <c r="G356" s="11"/>
      <c r="H356" s="11"/>
      <c r="I356" s="11"/>
      <c r="J356" s="249"/>
      <c r="K356" s="72"/>
      <c r="L356" s="73"/>
      <c r="M356" s="73"/>
      <c r="N356" s="74"/>
      <c r="O356" s="75"/>
      <c r="P356" s="73"/>
      <c r="Q356" s="76"/>
      <c r="R356" s="76"/>
      <c r="S356" s="76"/>
      <c r="T356" s="76"/>
      <c r="U356" s="76"/>
      <c r="V356" s="76"/>
      <c r="W356" s="76"/>
      <c r="X356" s="76"/>
      <c r="Y356" s="76"/>
      <c r="Z356" s="77"/>
      <c r="AA356" s="77"/>
      <c r="AB356" s="77"/>
      <c r="AC356" s="77"/>
      <c r="AD356" s="77"/>
      <c r="AE356" s="77"/>
      <c r="AF356" s="77"/>
      <c r="AG356" s="77"/>
      <c r="AH356" s="78"/>
      <c r="AI356" s="78"/>
      <c r="AJ356" s="78"/>
      <c r="AK356" s="78"/>
      <c r="AL356" s="78"/>
      <c r="AM356" s="78"/>
      <c r="AN356" s="76"/>
      <c r="AO356" s="76"/>
      <c r="AP356" s="76"/>
      <c r="AQ356" s="76"/>
      <c r="AR356" s="76"/>
      <c r="AS356" s="76"/>
      <c r="AT356" s="76"/>
      <c r="AU356" s="76"/>
      <c r="AV356" s="76"/>
      <c r="AW356" s="79"/>
      <c r="AX356" s="79"/>
      <c r="AY356" s="79"/>
      <c r="AZ356" s="79"/>
      <c r="BA356" s="79"/>
      <c r="BB356" s="11"/>
      <c r="BC356" s="11"/>
      <c r="BD356" s="11"/>
      <c r="BE356" s="73"/>
      <c r="BF356" s="73"/>
      <c r="BG356" s="73"/>
      <c r="BH356" s="77"/>
      <c r="BI356" s="77"/>
      <c r="BJ356" s="77"/>
      <c r="BK356" s="77"/>
      <c r="BL356" s="77"/>
      <c r="BM356" s="77"/>
      <c r="BN356" s="158"/>
      <c r="BO356" s="158"/>
    </row>
    <row r="357" spans="1:67" ht="15" x14ac:dyDescent="0.25">
      <c r="A357" s="71"/>
      <c r="B357" s="11"/>
      <c r="C357" s="11"/>
      <c r="D357" s="11"/>
      <c r="E357" s="11"/>
      <c r="F357" s="11"/>
      <c r="G357" s="11"/>
      <c r="H357" s="11"/>
      <c r="I357" s="11"/>
      <c r="J357" s="249"/>
      <c r="K357" s="72"/>
      <c r="L357" s="73"/>
      <c r="M357" s="73"/>
      <c r="N357" s="74"/>
      <c r="O357" s="75"/>
      <c r="P357" s="73"/>
      <c r="Q357" s="76"/>
      <c r="R357" s="76"/>
      <c r="S357" s="76"/>
      <c r="T357" s="76"/>
      <c r="U357" s="76"/>
      <c r="V357" s="76"/>
      <c r="W357" s="76"/>
      <c r="X357" s="76"/>
      <c r="Y357" s="76"/>
      <c r="Z357" s="77"/>
      <c r="AA357" s="77"/>
      <c r="AB357" s="77"/>
      <c r="AC357" s="77"/>
      <c r="AD357" s="77"/>
      <c r="AE357" s="77"/>
      <c r="AF357" s="77"/>
      <c r="AG357" s="77"/>
      <c r="AH357" s="78"/>
      <c r="AI357" s="78"/>
      <c r="AJ357" s="78"/>
      <c r="AK357" s="78"/>
      <c r="AL357" s="78"/>
      <c r="AM357" s="78"/>
      <c r="AN357" s="76"/>
      <c r="AO357" s="76"/>
      <c r="AP357" s="76"/>
      <c r="AQ357" s="76"/>
      <c r="AR357" s="76"/>
      <c r="AS357" s="76"/>
      <c r="AT357" s="76"/>
      <c r="AU357" s="76"/>
      <c r="AV357" s="76"/>
      <c r="AW357" s="79"/>
      <c r="AX357" s="79"/>
      <c r="AY357" s="79"/>
      <c r="AZ357" s="79"/>
      <c r="BA357" s="79"/>
      <c r="BB357" s="11"/>
      <c r="BC357" s="11"/>
      <c r="BD357" s="11"/>
      <c r="BE357" s="73"/>
      <c r="BF357" s="73"/>
      <c r="BG357" s="73"/>
      <c r="BH357" s="77"/>
      <c r="BI357" s="77"/>
      <c r="BJ357" s="77"/>
      <c r="BK357" s="77"/>
      <c r="BL357" s="77"/>
      <c r="BM357" s="77"/>
      <c r="BN357" s="158"/>
      <c r="BO357" s="158"/>
    </row>
    <row r="358" spans="1:67" ht="15" x14ac:dyDescent="0.25">
      <c r="A358" s="71"/>
      <c r="B358" s="11"/>
      <c r="C358" s="11"/>
      <c r="D358" s="11"/>
      <c r="E358" s="11"/>
      <c r="F358" s="11"/>
      <c r="G358" s="11"/>
      <c r="H358" s="11"/>
      <c r="I358" s="11"/>
      <c r="J358" s="249"/>
      <c r="K358" s="72"/>
      <c r="L358" s="73"/>
      <c r="M358" s="73"/>
      <c r="N358" s="74"/>
      <c r="O358" s="75"/>
      <c r="P358" s="73"/>
      <c r="Q358" s="76"/>
      <c r="R358" s="76"/>
      <c r="S358" s="76"/>
      <c r="T358" s="76"/>
      <c r="U358" s="76"/>
      <c r="V358" s="76"/>
      <c r="W358" s="76"/>
      <c r="X358" s="76"/>
      <c r="Y358" s="76"/>
      <c r="Z358" s="77"/>
      <c r="AA358" s="77"/>
      <c r="AB358" s="77"/>
      <c r="AC358" s="77"/>
      <c r="AD358" s="77"/>
      <c r="AE358" s="77"/>
      <c r="AF358" s="77"/>
      <c r="AG358" s="77"/>
      <c r="AH358" s="78"/>
      <c r="AI358" s="78"/>
      <c r="AJ358" s="78"/>
      <c r="AK358" s="78"/>
      <c r="AL358" s="78"/>
      <c r="AM358" s="78"/>
      <c r="AN358" s="76"/>
      <c r="AO358" s="76"/>
      <c r="AP358" s="76"/>
      <c r="AQ358" s="76"/>
      <c r="AR358" s="76"/>
      <c r="AS358" s="76"/>
      <c r="AT358" s="76"/>
      <c r="AU358" s="76"/>
      <c r="AV358" s="76"/>
      <c r="AW358" s="79"/>
      <c r="AX358" s="79"/>
      <c r="AY358" s="79"/>
      <c r="AZ358" s="79"/>
      <c r="BA358" s="79"/>
      <c r="BB358" s="11"/>
      <c r="BC358" s="11"/>
      <c r="BD358" s="11"/>
      <c r="BE358" s="73"/>
      <c r="BF358" s="73"/>
      <c r="BG358" s="73"/>
      <c r="BH358" s="77"/>
      <c r="BI358" s="77"/>
      <c r="BJ358" s="77"/>
      <c r="BK358" s="77"/>
      <c r="BL358" s="77"/>
      <c r="BM358" s="77"/>
      <c r="BN358" s="158"/>
      <c r="BO358" s="158"/>
    </row>
    <row r="359" spans="1:67" ht="15" x14ac:dyDescent="0.25">
      <c r="A359" s="71"/>
      <c r="B359" s="11"/>
      <c r="C359" s="11"/>
      <c r="D359" s="11"/>
      <c r="E359" s="11"/>
      <c r="F359" s="11"/>
      <c r="G359" s="11"/>
      <c r="H359" s="11"/>
      <c r="I359" s="11"/>
      <c r="J359" s="249"/>
      <c r="K359" s="72"/>
      <c r="L359" s="73"/>
      <c r="M359" s="73"/>
      <c r="N359" s="74"/>
      <c r="O359" s="75"/>
      <c r="P359" s="73"/>
      <c r="Q359" s="76"/>
      <c r="R359" s="76"/>
      <c r="S359" s="76"/>
      <c r="T359" s="76"/>
      <c r="U359" s="76"/>
      <c r="V359" s="76"/>
      <c r="W359" s="76"/>
      <c r="X359" s="76"/>
      <c r="Y359" s="76"/>
      <c r="Z359" s="77"/>
      <c r="AA359" s="77"/>
      <c r="AB359" s="77"/>
      <c r="AC359" s="77"/>
      <c r="AD359" s="77"/>
      <c r="AE359" s="77"/>
      <c r="AF359" s="77"/>
      <c r="AG359" s="77"/>
      <c r="AH359" s="78"/>
      <c r="AI359" s="78"/>
      <c r="AJ359" s="78"/>
      <c r="AK359" s="78"/>
      <c r="AL359" s="78"/>
      <c r="AM359" s="78"/>
      <c r="AN359" s="76"/>
      <c r="AO359" s="76"/>
      <c r="AP359" s="76"/>
      <c r="AQ359" s="76"/>
      <c r="AR359" s="76"/>
      <c r="AS359" s="76"/>
      <c r="AT359" s="76"/>
      <c r="AU359" s="76"/>
      <c r="AV359" s="76"/>
      <c r="AW359" s="79"/>
      <c r="AX359" s="79"/>
      <c r="AY359" s="79"/>
      <c r="AZ359" s="79"/>
      <c r="BA359" s="79"/>
      <c r="BB359" s="11"/>
      <c r="BC359" s="11"/>
      <c r="BD359" s="11"/>
      <c r="BE359" s="73"/>
      <c r="BF359" s="73"/>
      <c r="BG359" s="73"/>
      <c r="BH359" s="77"/>
      <c r="BI359" s="77"/>
      <c r="BJ359" s="77"/>
      <c r="BK359" s="77"/>
      <c r="BL359" s="77"/>
      <c r="BM359" s="77"/>
      <c r="BN359" s="158"/>
      <c r="BO359" s="158"/>
    </row>
    <row r="360" spans="1:67" ht="15" x14ac:dyDescent="0.25">
      <c r="A360" s="71"/>
      <c r="B360" s="11"/>
      <c r="C360" s="11"/>
      <c r="D360" s="11"/>
      <c r="E360" s="11"/>
      <c r="F360" s="11"/>
      <c r="G360" s="11"/>
      <c r="H360" s="11"/>
      <c r="I360" s="11"/>
      <c r="J360" s="249"/>
      <c r="K360" s="72"/>
      <c r="L360" s="73"/>
      <c r="M360" s="73"/>
      <c r="N360" s="74"/>
      <c r="O360" s="75"/>
      <c r="P360" s="73"/>
      <c r="Q360" s="76"/>
      <c r="R360" s="76"/>
      <c r="S360" s="76"/>
      <c r="T360" s="76"/>
      <c r="U360" s="76"/>
      <c r="V360" s="76"/>
      <c r="W360" s="76"/>
      <c r="X360" s="76"/>
      <c r="Y360" s="76"/>
      <c r="Z360" s="77"/>
      <c r="AA360" s="77"/>
      <c r="AB360" s="77"/>
      <c r="AC360" s="77"/>
      <c r="AD360" s="77"/>
      <c r="AE360" s="77"/>
      <c r="AF360" s="77"/>
      <c r="AG360" s="77"/>
      <c r="AH360" s="78"/>
      <c r="AI360" s="78"/>
      <c r="AJ360" s="78"/>
      <c r="AK360" s="78"/>
      <c r="AL360" s="78"/>
      <c r="AM360" s="78"/>
      <c r="AN360" s="76"/>
      <c r="AO360" s="76"/>
      <c r="AP360" s="76"/>
      <c r="AQ360" s="76"/>
      <c r="AR360" s="76"/>
      <c r="AS360" s="76"/>
      <c r="AT360" s="76"/>
      <c r="AU360" s="76"/>
      <c r="AV360" s="76"/>
      <c r="AW360" s="79"/>
      <c r="AX360" s="79"/>
      <c r="AY360" s="79"/>
      <c r="AZ360" s="79"/>
      <c r="BA360" s="79"/>
      <c r="BB360" s="11"/>
      <c r="BC360" s="11"/>
      <c r="BD360" s="11"/>
      <c r="BE360" s="73"/>
      <c r="BF360" s="73"/>
      <c r="BG360" s="73"/>
      <c r="BH360" s="77"/>
      <c r="BI360" s="77"/>
      <c r="BJ360" s="77"/>
      <c r="BK360" s="77"/>
      <c r="BL360" s="77"/>
      <c r="BM360" s="77"/>
      <c r="BN360" s="158"/>
      <c r="BO360" s="158"/>
    </row>
    <row r="361" spans="1:67" ht="15" x14ac:dyDescent="0.25">
      <c r="A361" s="71"/>
      <c r="B361" s="11"/>
      <c r="C361" s="11"/>
      <c r="D361" s="11"/>
      <c r="E361" s="11"/>
      <c r="F361" s="11"/>
      <c r="G361" s="11"/>
      <c r="H361" s="11"/>
      <c r="I361" s="11"/>
      <c r="J361" s="249"/>
      <c r="K361" s="72"/>
      <c r="L361" s="73"/>
      <c r="M361" s="73"/>
      <c r="N361" s="74"/>
      <c r="O361" s="75"/>
      <c r="P361" s="73"/>
      <c r="Q361" s="76"/>
      <c r="R361" s="76"/>
      <c r="S361" s="76"/>
      <c r="T361" s="76"/>
      <c r="U361" s="76"/>
      <c r="V361" s="76"/>
      <c r="W361" s="76"/>
      <c r="X361" s="76"/>
      <c r="Y361" s="76"/>
      <c r="Z361" s="77"/>
      <c r="AA361" s="77"/>
      <c r="AB361" s="77"/>
      <c r="AC361" s="77"/>
      <c r="AD361" s="77"/>
      <c r="AE361" s="77"/>
      <c r="AF361" s="77"/>
      <c r="AG361" s="77"/>
      <c r="AH361" s="78"/>
      <c r="AI361" s="78"/>
      <c r="AJ361" s="78"/>
      <c r="AK361" s="78"/>
      <c r="AL361" s="78"/>
      <c r="AM361" s="78"/>
      <c r="AN361" s="76"/>
      <c r="AO361" s="76"/>
      <c r="AP361" s="76"/>
      <c r="AQ361" s="76"/>
      <c r="AR361" s="76"/>
      <c r="AS361" s="76"/>
      <c r="AT361" s="76"/>
      <c r="AU361" s="76"/>
      <c r="AV361" s="76"/>
      <c r="AW361" s="79"/>
      <c r="AX361" s="79"/>
      <c r="AY361" s="79"/>
      <c r="AZ361" s="79"/>
      <c r="BA361" s="79"/>
      <c r="BB361" s="11"/>
      <c r="BC361" s="11"/>
      <c r="BD361" s="11"/>
      <c r="BE361" s="73"/>
      <c r="BF361" s="73"/>
      <c r="BG361" s="73"/>
      <c r="BH361" s="77"/>
      <c r="BI361" s="77"/>
      <c r="BJ361" s="77"/>
      <c r="BK361" s="77"/>
      <c r="BL361" s="77"/>
      <c r="BM361" s="77"/>
      <c r="BN361" s="158"/>
      <c r="BO361" s="158"/>
    </row>
    <row r="362" spans="1:67" ht="15" x14ac:dyDescent="0.25">
      <c r="A362" s="71"/>
      <c r="B362" s="11"/>
      <c r="C362" s="11"/>
      <c r="D362" s="11"/>
      <c r="E362" s="11"/>
      <c r="F362" s="11"/>
      <c r="G362" s="11"/>
      <c r="H362" s="11"/>
      <c r="I362" s="11"/>
      <c r="J362" s="249"/>
      <c r="K362" s="72"/>
      <c r="L362" s="73"/>
      <c r="M362" s="73"/>
      <c r="N362" s="74"/>
      <c r="O362" s="75"/>
      <c r="P362" s="73"/>
      <c r="Q362" s="76"/>
      <c r="R362" s="76"/>
      <c r="S362" s="76"/>
      <c r="T362" s="76"/>
      <c r="U362" s="76"/>
      <c r="V362" s="76"/>
      <c r="W362" s="76"/>
      <c r="X362" s="76"/>
      <c r="Y362" s="76"/>
      <c r="Z362" s="77"/>
      <c r="AA362" s="77"/>
      <c r="AB362" s="77"/>
      <c r="AC362" s="77"/>
      <c r="AD362" s="77"/>
      <c r="AE362" s="77"/>
      <c r="AF362" s="77"/>
      <c r="AG362" s="77"/>
      <c r="AH362" s="78"/>
      <c r="AI362" s="78"/>
      <c r="AJ362" s="78"/>
      <c r="AK362" s="78"/>
      <c r="AL362" s="78"/>
      <c r="AM362" s="78"/>
      <c r="AN362" s="76"/>
      <c r="AO362" s="76"/>
      <c r="AP362" s="76"/>
      <c r="AQ362" s="76"/>
      <c r="AR362" s="76"/>
      <c r="AS362" s="76"/>
      <c r="AT362" s="76"/>
      <c r="AU362" s="76"/>
      <c r="AV362" s="76"/>
      <c r="AW362" s="79"/>
      <c r="AX362" s="79"/>
      <c r="AY362" s="79"/>
      <c r="AZ362" s="79"/>
      <c r="BA362" s="79"/>
      <c r="BB362" s="11"/>
      <c r="BC362" s="11"/>
      <c r="BD362" s="11"/>
      <c r="BE362" s="73"/>
      <c r="BF362" s="73"/>
      <c r="BG362" s="73"/>
      <c r="BH362" s="77"/>
      <c r="BI362" s="77"/>
      <c r="BJ362" s="77"/>
      <c r="BK362" s="77"/>
      <c r="BL362" s="77"/>
      <c r="BM362" s="77"/>
      <c r="BN362" s="158"/>
      <c r="BO362" s="158"/>
    </row>
    <row r="363" spans="1:67" ht="15" x14ac:dyDescent="0.25">
      <c r="A363" s="71"/>
      <c r="B363" s="11"/>
      <c r="C363" s="11"/>
      <c r="D363" s="11"/>
      <c r="E363" s="11"/>
      <c r="F363" s="11"/>
      <c r="G363" s="11"/>
      <c r="H363" s="11"/>
      <c r="I363" s="11"/>
      <c r="J363" s="249"/>
      <c r="K363" s="72"/>
      <c r="L363" s="73"/>
      <c r="M363" s="73"/>
      <c r="N363" s="74"/>
      <c r="O363" s="75"/>
      <c r="P363" s="73"/>
      <c r="Q363" s="76"/>
      <c r="R363" s="76"/>
      <c r="S363" s="76"/>
      <c r="T363" s="76"/>
      <c r="U363" s="76"/>
      <c r="V363" s="76"/>
      <c r="W363" s="76"/>
      <c r="X363" s="76"/>
      <c r="Y363" s="76"/>
      <c r="Z363" s="77"/>
      <c r="AA363" s="77"/>
      <c r="AB363" s="77"/>
      <c r="AC363" s="77"/>
      <c r="AD363" s="77"/>
      <c r="AE363" s="77"/>
      <c r="AF363" s="77"/>
      <c r="AG363" s="77"/>
      <c r="AH363" s="78"/>
      <c r="AI363" s="78"/>
      <c r="AJ363" s="78"/>
      <c r="AK363" s="78"/>
      <c r="AL363" s="78"/>
      <c r="AM363" s="78"/>
      <c r="AN363" s="76"/>
      <c r="AO363" s="76"/>
      <c r="AP363" s="76"/>
      <c r="AQ363" s="76"/>
      <c r="AR363" s="76"/>
      <c r="AS363" s="76"/>
      <c r="AT363" s="76"/>
      <c r="AU363" s="76"/>
      <c r="AV363" s="76"/>
      <c r="AW363" s="79"/>
      <c r="AX363" s="79"/>
      <c r="AY363" s="79"/>
      <c r="AZ363" s="79"/>
      <c r="BA363" s="79"/>
      <c r="BB363" s="11"/>
      <c r="BC363" s="11"/>
      <c r="BD363" s="11"/>
      <c r="BE363" s="73"/>
      <c r="BF363" s="73"/>
      <c r="BG363" s="73"/>
      <c r="BH363" s="77"/>
      <c r="BI363" s="77"/>
      <c r="BJ363" s="77"/>
      <c r="BK363" s="77"/>
      <c r="BL363" s="77"/>
      <c r="BM363" s="77"/>
      <c r="BN363" s="158"/>
      <c r="BO363" s="158"/>
    </row>
    <row r="364" spans="1:67" ht="15" x14ac:dyDescent="0.25">
      <c r="A364" s="71"/>
      <c r="B364" s="11"/>
      <c r="C364" s="11"/>
      <c r="D364" s="11"/>
      <c r="E364" s="11"/>
      <c r="F364" s="11"/>
      <c r="G364" s="11"/>
      <c r="H364" s="11"/>
      <c r="I364" s="11"/>
      <c r="J364" s="249"/>
      <c r="K364" s="72"/>
      <c r="L364" s="73"/>
      <c r="M364" s="73"/>
      <c r="N364" s="74"/>
      <c r="O364" s="75"/>
      <c r="P364" s="73"/>
      <c r="Q364" s="76"/>
      <c r="R364" s="76"/>
      <c r="S364" s="76"/>
      <c r="T364" s="76"/>
      <c r="U364" s="76"/>
      <c r="V364" s="76"/>
      <c r="W364" s="76"/>
      <c r="X364" s="76"/>
      <c r="Y364" s="76"/>
      <c r="Z364" s="77"/>
      <c r="AA364" s="77"/>
      <c r="AB364" s="77"/>
      <c r="AC364" s="77"/>
      <c r="AD364" s="77"/>
      <c r="AE364" s="77"/>
      <c r="AF364" s="77"/>
      <c r="AG364" s="77"/>
      <c r="AH364" s="78"/>
      <c r="AI364" s="78"/>
      <c r="AJ364" s="78"/>
      <c r="AK364" s="78"/>
      <c r="AL364" s="78"/>
      <c r="AM364" s="78"/>
      <c r="AN364" s="76"/>
      <c r="AO364" s="76"/>
      <c r="AP364" s="76"/>
      <c r="AQ364" s="76"/>
      <c r="AR364" s="76"/>
      <c r="AS364" s="76"/>
      <c r="AT364" s="76"/>
      <c r="AU364" s="76"/>
      <c r="AV364" s="76"/>
      <c r="AW364" s="79"/>
      <c r="AX364" s="79"/>
      <c r="AY364" s="79"/>
      <c r="AZ364" s="79"/>
      <c r="BA364" s="79"/>
      <c r="BB364" s="11"/>
      <c r="BC364" s="11"/>
      <c r="BD364" s="11"/>
      <c r="BE364" s="73"/>
      <c r="BF364" s="73"/>
      <c r="BG364" s="73"/>
      <c r="BH364" s="77"/>
      <c r="BI364" s="77"/>
      <c r="BJ364" s="77"/>
      <c r="BK364" s="77"/>
      <c r="BL364" s="77"/>
      <c r="BM364" s="77"/>
      <c r="BN364" s="158"/>
      <c r="BO364" s="158"/>
    </row>
    <row r="365" spans="1:67" ht="15" x14ac:dyDescent="0.25">
      <c r="A365" s="71"/>
      <c r="B365" s="11"/>
      <c r="C365" s="11"/>
      <c r="D365" s="11"/>
      <c r="E365" s="11"/>
      <c r="F365" s="11"/>
      <c r="G365" s="11"/>
      <c r="H365" s="11"/>
      <c r="I365" s="11"/>
      <c r="J365" s="249"/>
      <c r="K365" s="72"/>
      <c r="L365" s="73"/>
      <c r="M365" s="73"/>
      <c r="N365" s="74"/>
      <c r="O365" s="75"/>
      <c r="P365" s="73"/>
      <c r="Q365" s="76"/>
      <c r="R365" s="76"/>
      <c r="S365" s="76"/>
      <c r="T365" s="76"/>
      <c r="U365" s="76"/>
      <c r="V365" s="76"/>
      <c r="W365" s="76"/>
      <c r="X365" s="76"/>
      <c r="Y365" s="76"/>
      <c r="Z365" s="77"/>
      <c r="AA365" s="77"/>
      <c r="AB365" s="77"/>
      <c r="AC365" s="77"/>
      <c r="AD365" s="77"/>
      <c r="AE365" s="77"/>
      <c r="AF365" s="77"/>
      <c r="AG365" s="77"/>
      <c r="AH365" s="78"/>
      <c r="AI365" s="78"/>
      <c r="AJ365" s="78"/>
      <c r="AK365" s="78"/>
      <c r="AL365" s="78"/>
      <c r="AM365" s="78"/>
      <c r="AN365" s="76"/>
      <c r="AO365" s="76"/>
      <c r="AP365" s="76"/>
      <c r="AQ365" s="76"/>
      <c r="AR365" s="76"/>
      <c r="AS365" s="76"/>
      <c r="AT365" s="76"/>
      <c r="AU365" s="76"/>
      <c r="AV365" s="76"/>
      <c r="AW365" s="79"/>
      <c r="AX365" s="79"/>
      <c r="AY365" s="79"/>
      <c r="AZ365" s="79"/>
      <c r="BA365" s="79"/>
      <c r="BB365" s="11"/>
      <c r="BC365" s="11"/>
      <c r="BD365" s="11"/>
      <c r="BE365" s="73"/>
      <c r="BF365" s="73"/>
      <c r="BG365" s="73"/>
      <c r="BH365" s="77"/>
      <c r="BI365" s="77"/>
      <c r="BJ365" s="77"/>
      <c r="BK365" s="77"/>
      <c r="BL365" s="77"/>
      <c r="BM365" s="77"/>
      <c r="BN365" s="158"/>
      <c r="BO365" s="158"/>
    </row>
    <row r="366" spans="1:67" ht="15" x14ac:dyDescent="0.25">
      <c r="A366" s="71"/>
      <c r="B366" s="11"/>
      <c r="C366" s="11"/>
      <c r="D366" s="11"/>
      <c r="E366" s="11"/>
      <c r="F366" s="11"/>
      <c r="G366" s="11"/>
      <c r="H366" s="11"/>
      <c r="I366" s="11"/>
      <c r="J366" s="249"/>
      <c r="K366" s="72"/>
      <c r="L366" s="73"/>
      <c r="M366" s="73"/>
      <c r="N366" s="74"/>
      <c r="O366" s="75"/>
      <c r="P366" s="73"/>
      <c r="Q366" s="76"/>
      <c r="R366" s="76"/>
      <c r="S366" s="76"/>
      <c r="T366" s="76"/>
      <c r="U366" s="76"/>
      <c r="V366" s="76"/>
      <c r="W366" s="76"/>
      <c r="X366" s="76"/>
      <c r="Y366" s="76"/>
      <c r="Z366" s="77"/>
      <c r="AA366" s="77"/>
      <c r="AB366" s="77"/>
      <c r="AC366" s="77"/>
      <c r="AD366" s="77"/>
      <c r="AE366" s="77"/>
      <c r="AF366" s="77"/>
      <c r="AG366" s="77"/>
      <c r="AH366" s="78"/>
      <c r="AI366" s="78"/>
      <c r="AJ366" s="78"/>
      <c r="AK366" s="78"/>
      <c r="AL366" s="78"/>
      <c r="AM366" s="78"/>
      <c r="AN366" s="76"/>
      <c r="AO366" s="76"/>
      <c r="AP366" s="76"/>
      <c r="AQ366" s="76"/>
      <c r="AR366" s="76"/>
      <c r="AS366" s="76"/>
      <c r="AT366" s="76"/>
      <c r="AU366" s="76"/>
      <c r="AV366" s="76"/>
      <c r="AW366" s="79"/>
      <c r="AX366" s="79"/>
      <c r="AY366" s="79"/>
      <c r="AZ366" s="79"/>
      <c r="BA366" s="79"/>
      <c r="BB366" s="11"/>
      <c r="BC366" s="11"/>
      <c r="BD366" s="11"/>
      <c r="BE366" s="73"/>
      <c r="BF366" s="73"/>
      <c r="BG366" s="73"/>
      <c r="BH366" s="77"/>
      <c r="BI366" s="77"/>
      <c r="BJ366" s="77"/>
      <c r="BK366" s="77"/>
      <c r="BL366" s="77"/>
      <c r="BM366" s="77"/>
      <c r="BN366" s="158"/>
      <c r="BO366" s="158"/>
    </row>
    <row r="367" spans="1:67" ht="15" x14ac:dyDescent="0.25">
      <c r="A367" s="71"/>
      <c r="B367" s="11"/>
      <c r="C367" s="11"/>
      <c r="D367" s="11"/>
      <c r="E367" s="11"/>
      <c r="F367" s="11"/>
      <c r="G367" s="11"/>
      <c r="H367" s="11"/>
      <c r="I367" s="11"/>
      <c r="J367" s="249"/>
      <c r="K367" s="72"/>
      <c r="L367" s="73"/>
      <c r="M367" s="73"/>
      <c r="N367" s="74"/>
      <c r="O367" s="75"/>
      <c r="P367" s="73"/>
      <c r="Q367" s="76"/>
      <c r="R367" s="76"/>
      <c r="S367" s="76"/>
      <c r="T367" s="76"/>
      <c r="U367" s="76"/>
      <c r="V367" s="76"/>
      <c r="W367" s="76"/>
      <c r="X367" s="76"/>
      <c r="Y367" s="76"/>
      <c r="Z367" s="77"/>
      <c r="AA367" s="77"/>
      <c r="AB367" s="77"/>
      <c r="AC367" s="77"/>
      <c r="AD367" s="77"/>
      <c r="AE367" s="77"/>
      <c r="AF367" s="77"/>
      <c r="AG367" s="77"/>
      <c r="AH367" s="78"/>
      <c r="AI367" s="78"/>
      <c r="AJ367" s="78"/>
      <c r="AK367" s="78"/>
      <c r="AL367" s="78"/>
      <c r="AM367" s="78"/>
      <c r="AN367" s="76"/>
      <c r="AO367" s="76"/>
      <c r="AP367" s="76"/>
      <c r="AQ367" s="76"/>
      <c r="AR367" s="76"/>
      <c r="AS367" s="76"/>
      <c r="AT367" s="76"/>
      <c r="AU367" s="76"/>
      <c r="AV367" s="76"/>
      <c r="AW367" s="79"/>
      <c r="AX367" s="79"/>
      <c r="AY367" s="79"/>
      <c r="AZ367" s="79"/>
      <c r="BA367" s="79"/>
      <c r="BB367" s="11"/>
      <c r="BC367" s="11"/>
      <c r="BD367" s="11"/>
      <c r="BE367" s="73"/>
      <c r="BF367" s="73"/>
      <c r="BG367" s="73"/>
      <c r="BH367" s="77"/>
      <c r="BI367" s="77"/>
      <c r="BJ367" s="77"/>
      <c r="BK367" s="77"/>
      <c r="BL367" s="77"/>
      <c r="BM367" s="77"/>
      <c r="BN367" s="158"/>
      <c r="BO367" s="158"/>
    </row>
    <row r="368" spans="1:67" ht="15" x14ac:dyDescent="0.25">
      <c r="A368" s="71"/>
      <c r="B368" s="11"/>
      <c r="C368" s="11"/>
      <c r="D368" s="11"/>
      <c r="E368" s="11"/>
      <c r="F368" s="11"/>
      <c r="G368" s="11"/>
      <c r="H368" s="11"/>
      <c r="I368" s="11"/>
      <c r="J368" s="249"/>
      <c r="K368" s="72"/>
      <c r="L368" s="73"/>
      <c r="M368" s="73"/>
      <c r="N368" s="74"/>
      <c r="O368" s="75"/>
      <c r="P368" s="73"/>
      <c r="Q368" s="76"/>
      <c r="R368" s="76"/>
      <c r="S368" s="76"/>
      <c r="T368" s="76"/>
      <c r="U368" s="76"/>
      <c r="V368" s="76"/>
      <c r="W368" s="76"/>
      <c r="X368" s="76"/>
      <c r="Y368" s="76"/>
      <c r="Z368" s="77"/>
      <c r="AA368" s="77"/>
      <c r="AB368" s="77"/>
      <c r="AC368" s="77"/>
      <c r="AD368" s="77"/>
      <c r="AE368" s="77"/>
      <c r="AF368" s="77"/>
      <c r="AG368" s="77"/>
      <c r="AH368" s="78"/>
      <c r="AI368" s="78"/>
      <c r="AJ368" s="78"/>
      <c r="AK368" s="78"/>
      <c r="AL368" s="78"/>
      <c r="AM368" s="78"/>
      <c r="AN368" s="76"/>
      <c r="AO368" s="76"/>
      <c r="AP368" s="76"/>
      <c r="AQ368" s="76"/>
      <c r="AR368" s="76"/>
      <c r="AS368" s="76"/>
      <c r="AT368" s="76"/>
      <c r="AU368" s="76"/>
      <c r="AV368" s="76"/>
      <c r="AW368" s="79"/>
      <c r="AX368" s="79"/>
      <c r="AY368" s="79"/>
      <c r="AZ368" s="79"/>
      <c r="BA368" s="79"/>
      <c r="BB368" s="11"/>
      <c r="BC368" s="11"/>
      <c r="BD368" s="11"/>
      <c r="BE368" s="73"/>
      <c r="BF368" s="73"/>
      <c r="BG368" s="73"/>
      <c r="BH368" s="77"/>
      <c r="BI368" s="77"/>
      <c r="BJ368" s="77"/>
      <c r="BK368" s="77"/>
      <c r="BL368" s="77"/>
      <c r="BM368" s="77"/>
      <c r="BN368" s="158"/>
      <c r="BO368" s="158"/>
    </row>
    <row r="369" spans="1:67" ht="15" x14ac:dyDescent="0.25">
      <c r="A369" s="71"/>
      <c r="B369" s="11"/>
      <c r="C369" s="11"/>
      <c r="D369" s="11"/>
      <c r="E369" s="11"/>
      <c r="F369" s="11"/>
      <c r="G369" s="11"/>
      <c r="H369" s="11"/>
      <c r="I369" s="11"/>
      <c r="J369" s="249"/>
      <c r="K369" s="72"/>
      <c r="L369" s="73"/>
      <c r="M369" s="73"/>
      <c r="N369" s="74"/>
      <c r="O369" s="75"/>
      <c r="P369" s="73"/>
      <c r="Q369" s="76"/>
      <c r="R369" s="76"/>
      <c r="S369" s="76"/>
      <c r="T369" s="76"/>
      <c r="U369" s="76"/>
      <c r="V369" s="76"/>
      <c r="W369" s="76"/>
      <c r="X369" s="76"/>
      <c r="Y369" s="76"/>
      <c r="Z369" s="77"/>
      <c r="AA369" s="77"/>
      <c r="AB369" s="77"/>
      <c r="AC369" s="77"/>
      <c r="AD369" s="77"/>
      <c r="AE369" s="77"/>
      <c r="AF369" s="77"/>
      <c r="AG369" s="77"/>
      <c r="AH369" s="78"/>
      <c r="AI369" s="78"/>
      <c r="AJ369" s="78"/>
      <c r="AK369" s="78"/>
      <c r="AL369" s="78"/>
      <c r="AM369" s="78"/>
      <c r="AN369" s="76"/>
      <c r="AO369" s="76"/>
      <c r="AP369" s="76"/>
      <c r="AQ369" s="76"/>
      <c r="AR369" s="76"/>
      <c r="AS369" s="76"/>
      <c r="AT369" s="76"/>
      <c r="AU369" s="76"/>
      <c r="AV369" s="76"/>
      <c r="AW369" s="79"/>
      <c r="AX369" s="79"/>
      <c r="AY369" s="79"/>
      <c r="AZ369" s="79"/>
      <c r="BA369" s="79"/>
      <c r="BB369" s="11"/>
      <c r="BC369" s="11"/>
      <c r="BD369" s="11"/>
      <c r="BE369" s="73"/>
      <c r="BF369" s="73"/>
      <c r="BG369" s="73"/>
      <c r="BH369" s="77"/>
      <c r="BI369" s="77"/>
      <c r="BJ369" s="77"/>
      <c r="BK369" s="77"/>
      <c r="BL369" s="77"/>
      <c r="BM369" s="77"/>
      <c r="BN369" s="158"/>
      <c r="BO369" s="158"/>
    </row>
    <row r="370" spans="1:67" ht="15" x14ac:dyDescent="0.25">
      <c r="A370" s="71"/>
      <c r="B370" s="11"/>
      <c r="C370" s="11"/>
      <c r="D370" s="11"/>
      <c r="E370" s="11"/>
      <c r="F370" s="11"/>
      <c r="G370" s="11"/>
      <c r="H370" s="11"/>
      <c r="I370" s="11"/>
      <c r="J370" s="249"/>
      <c r="K370" s="72"/>
      <c r="L370" s="73"/>
      <c r="M370" s="73"/>
      <c r="N370" s="74"/>
      <c r="O370" s="75"/>
      <c r="P370" s="73"/>
      <c r="Q370" s="76"/>
      <c r="R370" s="76"/>
      <c r="S370" s="76"/>
      <c r="T370" s="76"/>
      <c r="U370" s="76"/>
      <c r="V370" s="76"/>
      <c r="W370" s="76"/>
      <c r="X370" s="76"/>
      <c r="Y370" s="76"/>
      <c r="Z370" s="77"/>
      <c r="AA370" s="77"/>
      <c r="AB370" s="77"/>
      <c r="AC370" s="77"/>
      <c r="AD370" s="77"/>
      <c r="AE370" s="77"/>
      <c r="AF370" s="77"/>
      <c r="AG370" s="77"/>
      <c r="AH370" s="78"/>
      <c r="AI370" s="78"/>
      <c r="AJ370" s="78"/>
      <c r="AK370" s="78"/>
      <c r="AL370" s="78"/>
      <c r="AM370" s="78"/>
      <c r="AN370" s="76"/>
      <c r="AO370" s="76"/>
      <c r="AP370" s="76"/>
      <c r="AQ370" s="76"/>
      <c r="AR370" s="76"/>
      <c r="AS370" s="76"/>
      <c r="AT370" s="76"/>
      <c r="AU370" s="76"/>
      <c r="AV370" s="76"/>
      <c r="AW370" s="79"/>
      <c r="AX370" s="79"/>
      <c r="AY370" s="79"/>
      <c r="AZ370" s="79"/>
      <c r="BA370" s="79"/>
      <c r="BB370" s="11"/>
      <c r="BC370" s="11"/>
      <c r="BD370" s="11"/>
      <c r="BE370" s="73"/>
      <c r="BF370" s="73"/>
      <c r="BG370" s="73"/>
      <c r="BH370" s="77"/>
      <c r="BI370" s="77"/>
      <c r="BJ370" s="77"/>
      <c r="BK370" s="77"/>
      <c r="BL370" s="77"/>
      <c r="BM370" s="77"/>
      <c r="BN370" s="158"/>
      <c r="BO370" s="158"/>
    </row>
    <row r="371" spans="1:67" ht="15" x14ac:dyDescent="0.25">
      <c r="A371" s="71"/>
      <c r="B371" s="11"/>
      <c r="C371" s="11"/>
      <c r="D371" s="11"/>
      <c r="E371" s="11"/>
      <c r="F371" s="11"/>
      <c r="G371" s="11"/>
      <c r="H371" s="11"/>
      <c r="I371" s="11"/>
      <c r="J371" s="249"/>
      <c r="K371" s="72"/>
      <c r="L371" s="73"/>
      <c r="M371" s="73"/>
      <c r="N371" s="74"/>
      <c r="O371" s="75"/>
      <c r="P371" s="73"/>
      <c r="Q371" s="76"/>
      <c r="R371" s="76"/>
      <c r="S371" s="76"/>
      <c r="T371" s="76"/>
      <c r="U371" s="76"/>
      <c r="V371" s="76"/>
      <c r="W371" s="76"/>
      <c r="X371" s="76"/>
      <c r="Y371" s="76"/>
      <c r="Z371" s="77"/>
      <c r="AA371" s="77"/>
      <c r="AB371" s="77"/>
      <c r="AC371" s="77"/>
      <c r="AD371" s="77"/>
      <c r="AE371" s="77"/>
      <c r="AF371" s="77"/>
      <c r="AG371" s="77"/>
      <c r="AH371" s="78"/>
      <c r="AI371" s="78"/>
      <c r="AJ371" s="78"/>
      <c r="AK371" s="78"/>
      <c r="AL371" s="78"/>
      <c r="AM371" s="78"/>
      <c r="AN371" s="76"/>
      <c r="AO371" s="76"/>
      <c r="AP371" s="76"/>
      <c r="AQ371" s="76"/>
      <c r="AR371" s="76"/>
      <c r="AS371" s="76"/>
      <c r="AT371" s="76"/>
      <c r="AU371" s="76"/>
      <c r="AV371" s="76"/>
      <c r="AW371" s="79"/>
      <c r="AX371" s="79"/>
      <c r="AY371" s="79"/>
      <c r="AZ371" s="79"/>
      <c r="BA371" s="79"/>
      <c r="BB371" s="11"/>
      <c r="BC371" s="11"/>
      <c r="BD371" s="11"/>
      <c r="BE371" s="73"/>
      <c r="BF371" s="73"/>
      <c r="BG371" s="73"/>
      <c r="BH371" s="77"/>
      <c r="BI371" s="77"/>
      <c r="BJ371" s="77"/>
      <c r="BK371" s="77"/>
      <c r="BL371" s="77"/>
      <c r="BM371" s="77"/>
      <c r="BN371" s="158"/>
      <c r="BO371" s="158"/>
    </row>
    <row r="372" spans="1:67" ht="15" x14ac:dyDescent="0.25">
      <c r="A372" s="71"/>
      <c r="B372" s="11"/>
      <c r="C372" s="11"/>
      <c r="D372" s="11"/>
      <c r="E372" s="11"/>
      <c r="F372" s="11"/>
      <c r="G372" s="11"/>
      <c r="H372" s="11"/>
      <c r="I372" s="11"/>
      <c r="J372" s="249"/>
      <c r="K372" s="72"/>
      <c r="L372" s="73"/>
      <c r="M372" s="73"/>
      <c r="N372" s="74"/>
      <c r="O372" s="75"/>
      <c r="P372" s="73"/>
      <c r="Q372" s="76"/>
      <c r="R372" s="76"/>
      <c r="S372" s="76"/>
      <c r="T372" s="76"/>
      <c r="U372" s="76"/>
      <c r="V372" s="76"/>
      <c r="W372" s="76"/>
      <c r="X372" s="76"/>
      <c r="Y372" s="76"/>
      <c r="Z372" s="77"/>
      <c r="AA372" s="77"/>
      <c r="AB372" s="77"/>
      <c r="AC372" s="77"/>
      <c r="AD372" s="77"/>
      <c r="AE372" s="77"/>
      <c r="AF372" s="77"/>
      <c r="AG372" s="77"/>
      <c r="AH372" s="78"/>
      <c r="AI372" s="78"/>
      <c r="AJ372" s="78"/>
      <c r="AK372" s="78"/>
      <c r="AL372" s="78"/>
      <c r="AM372" s="78"/>
      <c r="AN372" s="76"/>
      <c r="AO372" s="76"/>
      <c r="AP372" s="76"/>
      <c r="AQ372" s="76"/>
      <c r="AR372" s="76"/>
      <c r="AS372" s="76"/>
      <c r="AT372" s="76"/>
      <c r="AU372" s="76"/>
      <c r="AV372" s="76"/>
      <c r="AW372" s="79"/>
      <c r="AX372" s="79"/>
      <c r="AY372" s="79"/>
      <c r="AZ372" s="79"/>
      <c r="BA372" s="79"/>
      <c r="BB372" s="11"/>
      <c r="BC372" s="11"/>
      <c r="BD372" s="11"/>
      <c r="BE372" s="73"/>
      <c r="BF372" s="73"/>
      <c r="BG372" s="73"/>
      <c r="BH372" s="77"/>
      <c r="BI372" s="77"/>
      <c r="BJ372" s="77"/>
      <c r="BK372" s="77"/>
      <c r="BL372" s="77"/>
      <c r="BM372" s="77"/>
      <c r="BN372" s="158"/>
      <c r="BO372" s="158"/>
    </row>
    <row r="373" spans="1:67" ht="15" x14ac:dyDescent="0.25">
      <c r="A373" s="71"/>
      <c r="B373" s="11"/>
      <c r="C373" s="11"/>
      <c r="D373" s="11"/>
      <c r="E373" s="11"/>
      <c r="F373" s="11"/>
      <c r="G373" s="11"/>
      <c r="H373" s="11"/>
      <c r="I373" s="11"/>
      <c r="J373" s="249"/>
      <c r="K373" s="72"/>
      <c r="L373" s="73"/>
      <c r="M373" s="73"/>
      <c r="N373" s="74"/>
      <c r="O373" s="75"/>
      <c r="P373" s="73"/>
      <c r="Q373" s="76"/>
      <c r="R373" s="76"/>
      <c r="S373" s="76"/>
      <c r="T373" s="76"/>
      <c r="U373" s="76"/>
      <c r="V373" s="76"/>
      <c r="W373" s="76"/>
      <c r="X373" s="76"/>
      <c r="Y373" s="76"/>
      <c r="Z373" s="77"/>
      <c r="AA373" s="77"/>
      <c r="AB373" s="77"/>
      <c r="AC373" s="77"/>
      <c r="AD373" s="77"/>
      <c r="AE373" s="77"/>
      <c r="AF373" s="77"/>
      <c r="AG373" s="77"/>
      <c r="AH373" s="78"/>
      <c r="AI373" s="78"/>
      <c r="AJ373" s="78"/>
      <c r="AK373" s="78"/>
      <c r="AL373" s="78"/>
      <c r="AM373" s="78"/>
      <c r="AN373" s="76"/>
      <c r="AO373" s="76"/>
      <c r="AP373" s="76"/>
      <c r="AQ373" s="76"/>
      <c r="AR373" s="76"/>
      <c r="AS373" s="76"/>
      <c r="AT373" s="76"/>
      <c r="AU373" s="76"/>
      <c r="AV373" s="76"/>
      <c r="AW373" s="79"/>
      <c r="AX373" s="79"/>
      <c r="AY373" s="79"/>
      <c r="AZ373" s="79"/>
      <c r="BA373" s="79"/>
      <c r="BB373" s="11"/>
      <c r="BC373" s="11"/>
      <c r="BD373" s="11"/>
      <c r="BE373" s="73"/>
      <c r="BF373" s="73"/>
      <c r="BG373" s="73"/>
      <c r="BH373" s="77"/>
      <c r="BI373" s="77"/>
      <c r="BJ373" s="77"/>
      <c r="BK373" s="77"/>
      <c r="BL373" s="77"/>
      <c r="BM373" s="77"/>
      <c r="BN373" s="158"/>
      <c r="BO373" s="158"/>
    </row>
    <row r="374" spans="1:67" ht="15" x14ac:dyDescent="0.25">
      <c r="A374" s="71"/>
      <c r="B374" s="11"/>
      <c r="C374" s="11"/>
      <c r="D374" s="11"/>
      <c r="E374" s="11"/>
      <c r="F374" s="11"/>
      <c r="G374" s="11"/>
      <c r="H374" s="11"/>
      <c r="I374" s="11"/>
      <c r="J374" s="249"/>
      <c r="K374" s="72"/>
      <c r="L374" s="73"/>
      <c r="M374" s="73"/>
      <c r="N374" s="74"/>
      <c r="O374" s="75"/>
      <c r="P374" s="73"/>
      <c r="Q374" s="76"/>
      <c r="R374" s="76"/>
      <c r="S374" s="76"/>
      <c r="T374" s="76"/>
      <c r="U374" s="76"/>
      <c r="V374" s="76"/>
      <c r="W374" s="76"/>
      <c r="X374" s="76"/>
      <c r="Y374" s="76"/>
      <c r="Z374" s="77"/>
      <c r="AA374" s="77"/>
      <c r="AB374" s="77"/>
      <c r="AC374" s="77"/>
      <c r="AD374" s="77"/>
      <c r="AE374" s="77"/>
      <c r="AF374" s="77"/>
      <c r="AG374" s="77"/>
      <c r="AH374" s="78"/>
      <c r="AI374" s="78"/>
      <c r="AJ374" s="78"/>
      <c r="AK374" s="78"/>
      <c r="AL374" s="78"/>
      <c r="AM374" s="78"/>
      <c r="AN374" s="76"/>
      <c r="AO374" s="76"/>
      <c r="AP374" s="76"/>
      <c r="AQ374" s="76"/>
      <c r="AR374" s="76"/>
      <c r="AS374" s="76"/>
      <c r="AT374" s="76"/>
      <c r="AU374" s="76"/>
      <c r="AV374" s="76"/>
      <c r="AW374" s="79"/>
      <c r="AX374" s="79"/>
      <c r="AY374" s="79"/>
      <c r="AZ374" s="79"/>
      <c r="BA374" s="79"/>
      <c r="BB374" s="11"/>
      <c r="BC374" s="11"/>
      <c r="BD374" s="11"/>
      <c r="BE374" s="73"/>
      <c r="BF374" s="73"/>
      <c r="BG374" s="73"/>
      <c r="BH374" s="77"/>
      <c r="BI374" s="77"/>
      <c r="BJ374" s="77"/>
      <c r="BK374" s="77"/>
      <c r="BL374" s="77"/>
      <c r="BM374" s="77"/>
      <c r="BN374" s="158"/>
      <c r="BO374" s="158"/>
    </row>
    <row r="375" spans="1:67" ht="15" x14ac:dyDescent="0.25">
      <c r="A375" s="71"/>
      <c r="B375" s="11"/>
      <c r="C375" s="11"/>
      <c r="D375" s="11"/>
      <c r="E375" s="11"/>
      <c r="F375" s="11"/>
      <c r="G375" s="11"/>
      <c r="H375" s="11"/>
      <c r="I375" s="11"/>
      <c r="J375" s="249"/>
      <c r="K375" s="72"/>
      <c r="L375" s="73"/>
      <c r="M375" s="73"/>
      <c r="N375" s="74"/>
      <c r="O375" s="75"/>
      <c r="P375" s="73"/>
      <c r="Q375" s="76"/>
      <c r="R375" s="76"/>
      <c r="S375" s="76"/>
      <c r="T375" s="76"/>
      <c r="U375" s="76"/>
      <c r="V375" s="76"/>
      <c r="W375" s="76"/>
      <c r="X375" s="76"/>
      <c r="Y375" s="76"/>
      <c r="Z375" s="77"/>
      <c r="AA375" s="77"/>
      <c r="AB375" s="77"/>
      <c r="AC375" s="77"/>
      <c r="AD375" s="77"/>
      <c r="AE375" s="77"/>
      <c r="AF375" s="77"/>
      <c r="AG375" s="77"/>
      <c r="AH375" s="78"/>
      <c r="AI375" s="78"/>
      <c r="AJ375" s="78"/>
      <c r="AK375" s="78"/>
      <c r="AL375" s="78"/>
      <c r="AM375" s="78"/>
      <c r="AN375" s="76"/>
      <c r="AO375" s="76"/>
      <c r="AP375" s="76"/>
      <c r="AQ375" s="76"/>
      <c r="AR375" s="76"/>
      <c r="AS375" s="76"/>
      <c r="AT375" s="76"/>
      <c r="AU375" s="76"/>
      <c r="AV375" s="76"/>
      <c r="AW375" s="79"/>
      <c r="AX375" s="79"/>
      <c r="AY375" s="79"/>
      <c r="AZ375" s="79"/>
      <c r="BA375" s="79"/>
      <c r="BB375" s="11"/>
      <c r="BC375" s="11"/>
      <c r="BD375" s="11"/>
      <c r="BE375" s="73"/>
      <c r="BF375" s="73"/>
      <c r="BG375" s="73"/>
      <c r="BH375" s="77"/>
      <c r="BI375" s="77"/>
      <c r="BJ375" s="77"/>
      <c r="BK375" s="77"/>
      <c r="BL375" s="77"/>
      <c r="BM375" s="77"/>
      <c r="BN375" s="158"/>
      <c r="BO375" s="158"/>
    </row>
    <row r="376" spans="1:67" ht="15" x14ac:dyDescent="0.25">
      <c r="A376" s="71"/>
      <c r="B376" s="11"/>
      <c r="C376" s="11"/>
      <c r="D376" s="11"/>
      <c r="E376" s="11"/>
      <c r="F376" s="11"/>
      <c r="G376" s="11"/>
      <c r="H376" s="11"/>
      <c r="I376" s="11"/>
      <c r="J376" s="249"/>
      <c r="K376" s="72"/>
      <c r="L376" s="73"/>
      <c r="M376" s="73"/>
      <c r="N376" s="74"/>
      <c r="O376" s="75"/>
      <c r="P376" s="73"/>
      <c r="Q376" s="76"/>
      <c r="R376" s="76"/>
      <c r="S376" s="76"/>
      <c r="T376" s="76"/>
      <c r="U376" s="76"/>
      <c r="V376" s="76"/>
      <c r="W376" s="76"/>
      <c r="X376" s="76"/>
      <c r="Y376" s="76"/>
      <c r="Z376" s="77"/>
      <c r="AA376" s="77"/>
      <c r="AB376" s="77"/>
      <c r="AC376" s="77"/>
      <c r="AD376" s="77"/>
      <c r="AE376" s="77"/>
      <c r="AF376" s="77"/>
      <c r="AG376" s="77"/>
      <c r="AH376" s="78"/>
      <c r="AI376" s="78"/>
      <c r="AJ376" s="78"/>
      <c r="AK376" s="78"/>
      <c r="AL376" s="78"/>
      <c r="AM376" s="78"/>
      <c r="AN376" s="76"/>
      <c r="AO376" s="76"/>
      <c r="AP376" s="76"/>
      <c r="AQ376" s="76"/>
      <c r="AR376" s="76"/>
      <c r="AS376" s="76"/>
      <c r="AT376" s="76"/>
      <c r="AU376" s="76"/>
      <c r="AV376" s="76"/>
      <c r="AW376" s="79"/>
      <c r="AX376" s="79"/>
      <c r="AY376" s="79"/>
      <c r="AZ376" s="79"/>
      <c r="BA376" s="79"/>
      <c r="BB376" s="11"/>
      <c r="BC376" s="11"/>
      <c r="BD376" s="11"/>
      <c r="BE376" s="73"/>
      <c r="BF376" s="73"/>
      <c r="BG376" s="73"/>
      <c r="BH376" s="77"/>
      <c r="BI376" s="77"/>
      <c r="BJ376" s="77"/>
      <c r="BK376" s="77"/>
      <c r="BL376" s="77"/>
      <c r="BM376" s="77"/>
      <c r="BN376" s="158"/>
      <c r="BO376" s="158"/>
    </row>
    <row r="377" spans="1:67" ht="15" x14ac:dyDescent="0.25">
      <c r="A377" s="71"/>
      <c r="B377" s="11"/>
      <c r="C377" s="11"/>
      <c r="D377" s="11"/>
      <c r="E377" s="11"/>
      <c r="F377" s="11"/>
      <c r="G377" s="11"/>
      <c r="H377" s="11"/>
      <c r="I377" s="11"/>
      <c r="J377" s="249"/>
      <c r="K377" s="72"/>
      <c r="L377" s="73"/>
      <c r="M377" s="73"/>
      <c r="N377" s="74"/>
      <c r="O377" s="75"/>
      <c r="P377" s="73"/>
      <c r="Q377" s="76"/>
      <c r="R377" s="76"/>
      <c r="S377" s="76"/>
      <c r="T377" s="76"/>
      <c r="U377" s="76"/>
      <c r="V377" s="76"/>
      <c r="W377" s="76"/>
      <c r="X377" s="76"/>
      <c r="Y377" s="76"/>
      <c r="Z377" s="77"/>
      <c r="AA377" s="77"/>
      <c r="AB377" s="77"/>
      <c r="AC377" s="77"/>
      <c r="AD377" s="77"/>
      <c r="AE377" s="77"/>
      <c r="AF377" s="77"/>
      <c r="AG377" s="77"/>
      <c r="AH377" s="78"/>
      <c r="AI377" s="78"/>
      <c r="AJ377" s="78"/>
      <c r="AK377" s="78"/>
      <c r="AL377" s="78"/>
      <c r="AM377" s="78"/>
      <c r="AN377" s="76"/>
      <c r="AO377" s="76"/>
      <c r="AP377" s="76"/>
      <c r="AQ377" s="76"/>
      <c r="AR377" s="76"/>
      <c r="AS377" s="76"/>
      <c r="AT377" s="76"/>
      <c r="AU377" s="76"/>
      <c r="AV377" s="76"/>
      <c r="AW377" s="79"/>
      <c r="AX377" s="79"/>
      <c r="AY377" s="79"/>
      <c r="AZ377" s="79"/>
      <c r="BA377" s="79"/>
      <c r="BB377" s="11"/>
      <c r="BC377" s="11"/>
      <c r="BD377" s="11"/>
      <c r="BE377" s="73"/>
      <c r="BF377" s="73"/>
      <c r="BG377" s="73"/>
      <c r="BH377" s="77"/>
      <c r="BI377" s="77"/>
      <c r="BJ377" s="77"/>
      <c r="BK377" s="77"/>
      <c r="BL377" s="77"/>
      <c r="BM377" s="77"/>
      <c r="BN377" s="158"/>
      <c r="BO377" s="158"/>
    </row>
    <row r="378" spans="1:67" ht="15" x14ac:dyDescent="0.25">
      <c r="A378" s="71"/>
      <c r="B378" s="11"/>
      <c r="C378" s="11"/>
      <c r="D378" s="11"/>
      <c r="E378" s="11"/>
      <c r="F378" s="11"/>
      <c r="G378" s="11"/>
      <c r="H378" s="11"/>
      <c r="I378" s="11"/>
      <c r="J378" s="249"/>
      <c r="K378" s="72"/>
      <c r="L378" s="73"/>
      <c r="M378" s="73"/>
      <c r="N378" s="74"/>
      <c r="O378" s="75"/>
      <c r="P378" s="73"/>
      <c r="Q378" s="76"/>
      <c r="R378" s="76"/>
      <c r="S378" s="76"/>
      <c r="T378" s="76"/>
      <c r="U378" s="76"/>
      <c r="V378" s="76"/>
      <c r="W378" s="76"/>
      <c r="X378" s="76"/>
      <c r="Y378" s="76"/>
      <c r="Z378" s="77"/>
      <c r="AA378" s="77"/>
      <c r="AB378" s="77"/>
      <c r="AC378" s="77"/>
      <c r="AD378" s="77"/>
      <c r="AE378" s="77"/>
      <c r="AF378" s="77"/>
      <c r="AG378" s="77"/>
      <c r="AH378" s="78"/>
      <c r="AI378" s="78"/>
      <c r="AJ378" s="78"/>
      <c r="AK378" s="78"/>
      <c r="AL378" s="78"/>
      <c r="AM378" s="78"/>
      <c r="AN378" s="76"/>
      <c r="AO378" s="76"/>
      <c r="AP378" s="76"/>
      <c r="AQ378" s="76"/>
      <c r="AR378" s="76"/>
      <c r="AS378" s="76"/>
      <c r="AT378" s="76"/>
      <c r="AU378" s="76"/>
      <c r="AV378" s="76"/>
      <c r="AW378" s="79"/>
      <c r="AX378" s="79"/>
      <c r="AY378" s="79"/>
      <c r="AZ378" s="79"/>
      <c r="BA378" s="79"/>
      <c r="BB378" s="11"/>
      <c r="BC378" s="11"/>
      <c r="BD378" s="11"/>
      <c r="BE378" s="73"/>
      <c r="BF378" s="73"/>
      <c r="BG378" s="73"/>
      <c r="BH378" s="77"/>
      <c r="BI378" s="77"/>
      <c r="BJ378" s="77"/>
      <c r="BK378" s="77"/>
      <c r="BL378" s="77"/>
      <c r="BM378" s="77"/>
      <c r="BN378" s="158"/>
      <c r="BO378" s="158"/>
    </row>
    <row r="379" spans="1:67" ht="15" x14ac:dyDescent="0.25">
      <c r="A379" s="71"/>
      <c r="B379" s="11"/>
      <c r="C379" s="11"/>
      <c r="D379" s="11"/>
      <c r="E379" s="11"/>
      <c r="F379" s="11"/>
      <c r="G379" s="11"/>
      <c r="H379" s="11"/>
      <c r="I379" s="11"/>
      <c r="J379" s="249"/>
      <c r="K379" s="72"/>
      <c r="L379" s="73"/>
      <c r="M379" s="73"/>
      <c r="N379" s="74"/>
      <c r="O379" s="75"/>
      <c r="P379" s="73"/>
      <c r="Q379" s="76"/>
      <c r="R379" s="76"/>
      <c r="S379" s="76"/>
      <c r="T379" s="76"/>
      <c r="U379" s="76"/>
      <c r="V379" s="76"/>
      <c r="W379" s="76"/>
      <c r="X379" s="76"/>
      <c r="Y379" s="76"/>
      <c r="Z379" s="77"/>
      <c r="AA379" s="77"/>
      <c r="AB379" s="77"/>
      <c r="AC379" s="77"/>
      <c r="AD379" s="77"/>
      <c r="AE379" s="77"/>
      <c r="AF379" s="77"/>
      <c r="AG379" s="77"/>
      <c r="AH379" s="78"/>
      <c r="AI379" s="78"/>
      <c r="AJ379" s="78"/>
      <c r="AK379" s="78"/>
      <c r="AL379" s="78"/>
      <c r="AM379" s="78"/>
      <c r="AN379" s="76"/>
      <c r="AO379" s="76"/>
      <c r="AP379" s="76"/>
      <c r="AQ379" s="76"/>
      <c r="AR379" s="76"/>
      <c r="AS379" s="76"/>
      <c r="AT379" s="76"/>
      <c r="AU379" s="76"/>
      <c r="AV379" s="76"/>
      <c r="AW379" s="79"/>
      <c r="AX379" s="79"/>
      <c r="AY379" s="79"/>
      <c r="AZ379" s="79"/>
      <c r="BA379" s="79"/>
      <c r="BB379" s="11"/>
      <c r="BC379" s="11"/>
      <c r="BD379" s="11"/>
      <c r="BE379" s="73"/>
      <c r="BF379" s="73"/>
      <c r="BG379" s="73"/>
      <c r="BH379" s="77"/>
      <c r="BI379" s="77"/>
      <c r="BJ379" s="77"/>
      <c r="BK379" s="77"/>
      <c r="BL379" s="77"/>
      <c r="BM379" s="77"/>
      <c r="BN379" s="158"/>
      <c r="BO379" s="158"/>
    </row>
    <row r="380" spans="1:67" ht="15" x14ac:dyDescent="0.25">
      <c r="A380" s="71"/>
      <c r="B380" s="11"/>
      <c r="C380" s="11"/>
      <c r="D380" s="11"/>
      <c r="E380" s="11"/>
      <c r="F380" s="11"/>
      <c r="G380" s="11"/>
      <c r="H380" s="11"/>
      <c r="I380" s="11"/>
      <c r="J380" s="249"/>
      <c r="K380" s="72"/>
      <c r="L380" s="73"/>
      <c r="M380" s="73"/>
      <c r="N380" s="74"/>
      <c r="O380" s="75"/>
      <c r="P380" s="73"/>
      <c r="Q380" s="76"/>
      <c r="R380" s="76"/>
      <c r="S380" s="76"/>
      <c r="T380" s="76"/>
      <c r="U380" s="76"/>
      <c r="V380" s="76"/>
      <c r="W380" s="76"/>
      <c r="X380" s="76"/>
      <c r="Y380" s="76"/>
      <c r="Z380" s="77"/>
      <c r="AA380" s="77"/>
      <c r="AB380" s="77"/>
      <c r="AC380" s="77"/>
      <c r="AD380" s="77"/>
      <c r="AE380" s="77"/>
      <c r="AF380" s="77"/>
      <c r="AG380" s="77"/>
      <c r="AH380" s="78"/>
      <c r="AI380" s="78"/>
      <c r="AJ380" s="78"/>
      <c r="AK380" s="78"/>
      <c r="AL380" s="78"/>
      <c r="AM380" s="78"/>
      <c r="AN380" s="76"/>
      <c r="AO380" s="76"/>
      <c r="AP380" s="76"/>
      <c r="AQ380" s="76"/>
      <c r="AR380" s="76"/>
      <c r="AS380" s="76"/>
      <c r="AT380" s="76"/>
      <c r="AU380" s="76"/>
      <c r="AV380" s="76"/>
      <c r="AW380" s="79"/>
      <c r="AX380" s="79"/>
      <c r="AY380" s="79"/>
      <c r="AZ380" s="79"/>
      <c r="BA380" s="79"/>
      <c r="BB380" s="11"/>
      <c r="BC380" s="11"/>
      <c r="BD380" s="11"/>
      <c r="BE380" s="73"/>
      <c r="BF380" s="73"/>
      <c r="BG380" s="73"/>
      <c r="BH380" s="77"/>
      <c r="BI380" s="77"/>
      <c r="BJ380" s="77"/>
      <c r="BK380" s="77"/>
      <c r="BL380" s="77"/>
      <c r="BM380" s="77"/>
      <c r="BN380" s="158"/>
      <c r="BO380" s="158"/>
    </row>
    <row r="381" spans="1:67" ht="15" x14ac:dyDescent="0.25">
      <c r="A381" s="71"/>
      <c r="B381" s="11"/>
      <c r="C381" s="11"/>
      <c r="D381" s="11"/>
      <c r="E381" s="11"/>
      <c r="F381" s="11"/>
      <c r="G381" s="11"/>
      <c r="H381" s="11"/>
      <c r="I381" s="11"/>
      <c r="J381" s="249"/>
      <c r="K381" s="72"/>
      <c r="L381" s="73"/>
      <c r="M381" s="73"/>
      <c r="N381" s="74"/>
      <c r="O381" s="75"/>
      <c r="P381" s="73"/>
      <c r="Q381" s="76"/>
      <c r="R381" s="76"/>
      <c r="S381" s="76"/>
      <c r="T381" s="76"/>
      <c r="U381" s="76"/>
      <c r="V381" s="76"/>
      <c r="W381" s="76"/>
      <c r="X381" s="76"/>
      <c r="Y381" s="76"/>
      <c r="Z381" s="77"/>
      <c r="AA381" s="77"/>
      <c r="AB381" s="77"/>
      <c r="AC381" s="77"/>
      <c r="AD381" s="77"/>
      <c r="AE381" s="77"/>
      <c r="AF381" s="77"/>
      <c r="AG381" s="77"/>
      <c r="AH381" s="78"/>
      <c r="AI381" s="78"/>
      <c r="AJ381" s="78"/>
      <c r="AK381" s="78"/>
      <c r="AL381" s="78"/>
      <c r="AM381" s="78"/>
      <c r="AN381" s="76"/>
      <c r="AO381" s="76"/>
      <c r="AP381" s="76"/>
      <c r="AQ381" s="76"/>
      <c r="AR381" s="76"/>
      <c r="AS381" s="76"/>
      <c r="AT381" s="76"/>
      <c r="AU381" s="76"/>
      <c r="AV381" s="76"/>
      <c r="AW381" s="79"/>
      <c r="AX381" s="79"/>
      <c r="AY381" s="79"/>
      <c r="AZ381" s="79"/>
      <c r="BA381" s="79"/>
      <c r="BB381" s="11"/>
      <c r="BC381" s="11"/>
      <c r="BD381" s="11"/>
      <c r="BE381" s="73"/>
      <c r="BF381" s="73"/>
      <c r="BG381" s="73"/>
      <c r="BH381" s="77"/>
      <c r="BI381" s="77"/>
      <c r="BJ381" s="77"/>
      <c r="BK381" s="77"/>
      <c r="BL381" s="77"/>
      <c r="BM381" s="77"/>
      <c r="BN381" s="158"/>
      <c r="BO381" s="158"/>
    </row>
    <row r="382" spans="1:67" ht="15" x14ac:dyDescent="0.25">
      <c r="A382" s="71"/>
      <c r="B382" s="11"/>
      <c r="C382" s="11"/>
      <c r="D382" s="11"/>
      <c r="E382" s="11"/>
      <c r="F382" s="11"/>
      <c r="G382" s="11"/>
      <c r="H382" s="11"/>
      <c r="I382" s="11"/>
      <c r="J382" s="249"/>
      <c r="K382" s="72"/>
      <c r="L382" s="73"/>
      <c r="M382" s="73"/>
      <c r="N382" s="74"/>
      <c r="O382" s="75"/>
      <c r="P382" s="73"/>
      <c r="Q382" s="76"/>
      <c r="R382" s="76"/>
      <c r="S382" s="76"/>
      <c r="T382" s="76"/>
      <c r="U382" s="76"/>
      <c r="V382" s="76"/>
      <c r="W382" s="76"/>
      <c r="X382" s="76"/>
      <c r="Y382" s="76"/>
      <c r="Z382" s="77"/>
      <c r="AA382" s="77"/>
      <c r="AB382" s="77"/>
      <c r="AC382" s="77"/>
      <c r="AD382" s="77"/>
      <c r="AE382" s="77"/>
      <c r="AF382" s="77"/>
      <c r="AG382" s="77"/>
      <c r="AH382" s="78"/>
      <c r="AI382" s="78"/>
      <c r="AJ382" s="78"/>
      <c r="AK382" s="78"/>
      <c r="AL382" s="78"/>
      <c r="AM382" s="78"/>
      <c r="AN382" s="76"/>
      <c r="AO382" s="76"/>
      <c r="AP382" s="76"/>
      <c r="AQ382" s="76"/>
      <c r="AR382" s="76"/>
      <c r="AS382" s="76"/>
      <c r="AT382" s="76"/>
      <c r="AU382" s="76"/>
      <c r="AV382" s="76"/>
      <c r="AW382" s="79"/>
      <c r="AX382" s="79"/>
      <c r="AY382" s="79"/>
      <c r="AZ382" s="79"/>
      <c r="BA382" s="79"/>
      <c r="BB382" s="11"/>
      <c r="BC382" s="11"/>
      <c r="BD382" s="11"/>
      <c r="BE382" s="73"/>
      <c r="BF382" s="73"/>
      <c r="BG382" s="73"/>
      <c r="BH382" s="77"/>
      <c r="BI382" s="77"/>
      <c r="BJ382" s="77"/>
      <c r="BK382" s="77"/>
      <c r="BL382" s="77"/>
      <c r="BM382" s="77"/>
      <c r="BN382" s="158"/>
      <c r="BO382" s="158"/>
    </row>
    <row r="383" spans="1:67" ht="15" x14ac:dyDescent="0.25">
      <c r="A383" s="71"/>
      <c r="B383" s="11"/>
      <c r="C383" s="11"/>
      <c r="D383" s="11"/>
      <c r="E383" s="11"/>
      <c r="F383" s="11"/>
      <c r="G383" s="11"/>
      <c r="H383" s="11"/>
      <c r="I383" s="11"/>
      <c r="J383" s="249"/>
      <c r="K383" s="72"/>
      <c r="L383" s="73"/>
      <c r="M383" s="73"/>
      <c r="N383" s="74"/>
      <c r="O383" s="75"/>
      <c r="P383" s="73"/>
      <c r="Q383" s="76"/>
      <c r="R383" s="76"/>
      <c r="S383" s="76"/>
      <c r="T383" s="76"/>
      <c r="U383" s="76"/>
      <c r="V383" s="76"/>
      <c r="W383" s="76"/>
      <c r="X383" s="76"/>
      <c r="Y383" s="76"/>
      <c r="Z383" s="77"/>
      <c r="AA383" s="77"/>
      <c r="AB383" s="77"/>
      <c r="AC383" s="77"/>
      <c r="AD383" s="77"/>
      <c r="AE383" s="77"/>
      <c r="AF383" s="77"/>
      <c r="AG383" s="77"/>
      <c r="AH383" s="78"/>
      <c r="AI383" s="78"/>
      <c r="AJ383" s="78"/>
      <c r="AK383" s="78"/>
      <c r="AL383" s="78"/>
      <c r="AM383" s="78"/>
      <c r="AN383" s="76"/>
      <c r="AO383" s="76"/>
      <c r="AP383" s="76"/>
      <c r="AQ383" s="76"/>
      <c r="AR383" s="76"/>
      <c r="AS383" s="76"/>
      <c r="AT383" s="76"/>
      <c r="AU383" s="76"/>
      <c r="AV383" s="76"/>
      <c r="AW383" s="79"/>
      <c r="AX383" s="79"/>
      <c r="AY383" s="79"/>
      <c r="AZ383" s="79"/>
      <c r="BA383" s="79"/>
      <c r="BB383" s="11"/>
      <c r="BC383" s="11"/>
      <c r="BD383" s="11"/>
      <c r="BE383" s="73"/>
      <c r="BF383" s="73"/>
      <c r="BG383" s="73"/>
      <c r="BH383" s="77"/>
      <c r="BI383" s="77"/>
      <c r="BJ383" s="77"/>
      <c r="BK383" s="77"/>
      <c r="BL383" s="77"/>
      <c r="BM383" s="77"/>
      <c r="BN383" s="158"/>
      <c r="BO383" s="158"/>
    </row>
    <row r="384" spans="1:67" ht="15" x14ac:dyDescent="0.25">
      <c r="A384" s="71"/>
      <c r="B384" s="11"/>
      <c r="C384" s="11"/>
      <c r="D384" s="11"/>
      <c r="E384" s="11"/>
      <c r="F384" s="11"/>
      <c r="G384" s="11"/>
      <c r="H384" s="11"/>
      <c r="I384" s="11"/>
      <c r="J384" s="249"/>
      <c r="K384" s="72"/>
      <c r="L384" s="73"/>
      <c r="M384" s="73"/>
      <c r="N384" s="74"/>
      <c r="O384" s="75"/>
      <c r="P384" s="73"/>
      <c r="Q384" s="76"/>
      <c r="R384" s="76"/>
      <c r="S384" s="76"/>
      <c r="T384" s="76"/>
      <c r="U384" s="76"/>
      <c r="V384" s="76"/>
      <c r="W384" s="76"/>
      <c r="X384" s="76"/>
      <c r="Y384" s="76"/>
      <c r="Z384" s="77"/>
      <c r="AA384" s="77"/>
      <c r="AB384" s="77"/>
      <c r="AC384" s="77"/>
      <c r="AD384" s="77"/>
      <c r="AE384" s="77"/>
      <c r="AF384" s="77"/>
      <c r="AG384" s="77"/>
      <c r="AH384" s="78"/>
      <c r="AI384" s="78"/>
      <c r="AJ384" s="78"/>
      <c r="AK384" s="78"/>
      <c r="AL384" s="78"/>
      <c r="AM384" s="78"/>
      <c r="AN384" s="76"/>
      <c r="AO384" s="76"/>
      <c r="AP384" s="76"/>
      <c r="AQ384" s="76"/>
      <c r="AR384" s="76"/>
      <c r="AS384" s="76"/>
      <c r="AT384" s="76"/>
      <c r="AU384" s="76"/>
      <c r="AV384" s="76"/>
      <c r="AW384" s="79"/>
      <c r="AX384" s="79"/>
      <c r="AY384" s="79"/>
      <c r="AZ384" s="79"/>
      <c r="BA384" s="79"/>
      <c r="BB384" s="11"/>
      <c r="BC384" s="11"/>
      <c r="BD384" s="11"/>
      <c r="BE384" s="73"/>
      <c r="BF384" s="73"/>
      <c r="BG384" s="73"/>
      <c r="BH384" s="77"/>
      <c r="BI384" s="77"/>
      <c r="BJ384" s="77"/>
      <c r="BK384" s="77"/>
      <c r="BL384" s="77"/>
      <c r="BM384" s="77"/>
      <c r="BN384" s="158"/>
      <c r="BO384" s="158"/>
    </row>
    <row r="385" spans="1:67" ht="15" x14ac:dyDescent="0.25">
      <c r="A385" s="71"/>
      <c r="B385" s="11"/>
      <c r="C385" s="11"/>
      <c r="D385" s="11"/>
      <c r="E385" s="11"/>
      <c r="F385" s="11"/>
      <c r="G385" s="11"/>
      <c r="H385" s="11"/>
      <c r="I385" s="11"/>
      <c r="J385" s="249"/>
      <c r="K385" s="72"/>
      <c r="L385" s="73"/>
      <c r="M385" s="73"/>
      <c r="N385" s="74"/>
      <c r="O385" s="75"/>
      <c r="P385" s="73"/>
      <c r="Q385" s="76"/>
      <c r="R385" s="76"/>
      <c r="S385" s="76"/>
      <c r="T385" s="76"/>
      <c r="U385" s="76"/>
      <c r="V385" s="76"/>
      <c r="W385" s="76"/>
      <c r="X385" s="76"/>
      <c r="Y385" s="76"/>
      <c r="Z385" s="77"/>
      <c r="AA385" s="77"/>
      <c r="AB385" s="77"/>
      <c r="AC385" s="77"/>
      <c r="AD385" s="77"/>
      <c r="AE385" s="77"/>
      <c r="AF385" s="77"/>
      <c r="AG385" s="77"/>
      <c r="AH385" s="78"/>
      <c r="AI385" s="78"/>
      <c r="AJ385" s="78"/>
      <c r="AK385" s="78"/>
      <c r="AL385" s="78"/>
      <c r="AM385" s="78"/>
      <c r="AN385" s="76"/>
      <c r="AO385" s="76"/>
      <c r="AP385" s="76"/>
      <c r="AQ385" s="76"/>
      <c r="AR385" s="76"/>
      <c r="AS385" s="76"/>
      <c r="AT385" s="76"/>
      <c r="AU385" s="76"/>
      <c r="AV385" s="76"/>
      <c r="AW385" s="79"/>
      <c r="AX385" s="79"/>
      <c r="AY385" s="79"/>
      <c r="AZ385" s="79"/>
      <c r="BA385" s="79"/>
      <c r="BB385" s="11"/>
      <c r="BC385" s="11"/>
      <c r="BD385" s="11"/>
      <c r="BE385" s="73"/>
      <c r="BF385" s="73"/>
      <c r="BG385" s="73"/>
      <c r="BH385" s="77"/>
      <c r="BI385" s="77"/>
      <c r="BJ385" s="77"/>
      <c r="BK385" s="77"/>
      <c r="BL385" s="77"/>
      <c r="BM385" s="77"/>
      <c r="BN385" s="158"/>
      <c r="BO385" s="158"/>
    </row>
    <row r="386" spans="1:67" ht="15" x14ac:dyDescent="0.25">
      <c r="A386" s="71"/>
      <c r="B386" s="11"/>
      <c r="C386" s="11"/>
      <c r="D386" s="11"/>
      <c r="E386" s="11"/>
      <c r="F386" s="11"/>
      <c r="G386" s="11"/>
      <c r="H386" s="11"/>
      <c r="I386" s="11"/>
      <c r="J386" s="249"/>
      <c r="K386" s="72"/>
      <c r="L386" s="73"/>
      <c r="M386" s="73"/>
      <c r="N386" s="74"/>
      <c r="O386" s="75"/>
      <c r="P386" s="73"/>
      <c r="Q386" s="76"/>
      <c r="R386" s="76"/>
      <c r="S386" s="76"/>
      <c r="T386" s="76"/>
      <c r="U386" s="76"/>
      <c r="V386" s="76"/>
      <c r="W386" s="76"/>
      <c r="X386" s="76"/>
      <c r="Y386" s="76"/>
      <c r="Z386" s="77"/>
      <c r="AA386" s="77"/>
      <c r="AB386" s="77"/>
      <c r="AC386" s="77"/>
      <c r="AD386" s="77"/>
      <c r="AE386" s="77"/>
      <c r="AF386" s="77"/>
      <c r="AG386" s="77"/>
      <c r="AH386" s="78"/>
      <c r="AI386" s="78"/>
      <c r="AJ386" s="78"/>
      <c r="AK386" s="78"/>
      <c r="AL386" s="78"/>
      <c r="AM386" s="78"/>
      <c r="AN386" s="76"/>
      <c r="AO386" s="76"/>
      <c r="AP386" s="76"/>
      <c r="AQ386" s="76"/>
      <c r="AR386" s="76"/>
      <c r="AS386" s="76"/>
      <c r="AT386" s="76"/>
      <c r="AU386" s="76"/>
      <c r="AV386" s="76"/>
      <c r="AW386" s="79"/>
      <c r="AX386" s="79"/>
      <c r="AY386" s="79"/>
      <c r="AZ386" s="79"/>
      <c r="BA386" s="79"/>
      <c r="BB386" s="11"/>
      <c r="BC386" s="11"/>
      <c r="BD386" s="11"/>
      <c r="BE386" s="73"/>
      <c r="BF386" s="73"/>
      <c r="BG386" s="73"/>
      <c r="BH386" s="77"/>
      <c r="BI386" s="77"/>
      <c r="BJ386" s="77"/>
      <c r="BK386" s="77"/>
      <c r="BL386" s="77"/>
      <c r="BM386" s="77"/>
      <c r="BN386" s="158"/>
      <c r="BO386" s="158"/>
    </row>
    <row r="387" spans="1:67" ht="15" x14ac:dyDescent="0.25">
      <c r="A387" s="71"/>
      <c r="B387" s="11"/>
      <c r="C387" s="11"/>
      <c r="D387" s="11"/>
      <c r="E387" s="11"/>
      <c r="F387" s="11"/>
      <c r="G387" s="11"/>
      <c r="H387" s="11"/>
      <c r="I387" s="11"/>
      <c r="J387" s="249"/>
      <c r="K387" s="72"/>
      <c r="L387" s="73"/>
      <c r="M387" s="73"/>
      <c r="N387" s="74"/>
      <c r="O387" s="75"/>
      <c r="P387" s="73"/>
      <c r="Q387" s="76"/>
      <c r="R387" s="76"/>
      <c r="S387" s="76"/>
      <c r="T387" s="76"/>
      <c r="U387" s="76"/>
      <c r="V387" s="76"/>
      <c r="W387" s="76"/>
      <c r="X387" s="76"/>
      <c r="Y387" s="76"/>
      <c r="Z387" s="77"/>
      <c r="AA387" s="77"/>
      <c r="AB387" s="77"/>
      <c r="AC387" s="77"/>
      <c r="AD387" s="77"/>
      <c r="AE387" s="77"/>
      <c r="AF387" s="77"/>
      <c r="AG387" s="77"/>
      <c r="AH387" s="78"/>
      <c r="AI387" s="78"/>
      <c r="AJ387" s="78"/>
      <c r="AK387" s="78"/>
      <c r="AL387" s="78"/>
      <c r="AM387" s="78"/>
      <c r="AN387" s="76"/>
      <c r="AO387" s="76"/>
      <c r="AP387" s="76"/>
      <c r="AQ387" s="76"/>
      <c r="AR387" s="76"/>
      <c r="AS387" s="76"/>
      <c r="AT387" s="76"/>
      <c r="AU387" s="76"/>
      <c r="AV387" s="76"/>
      <c r="AW387" s="79"/>
      <c r="AX387" s="79"/>
      <c r="AY387" s="79"/>
      <c r="AZ387" s="79"/>
      <c r="BA387" s="79"/>
      <c r="BB387" s="11"/>
      <c r="BC387" s="11"/>
      <c r="BD387" s="11"/>
      <c r="BE387" s="73"/>
      <c r="BF387" s="73"/>
      <c r="BG387" s="73"/>
      <c r="BH387" s="77"/>
      <c r="BI387" s="77"/>
      <c r="BJ387" s="77"/>
      <c r="BK387" s="77"/>
      <c r="BL387" s="77"/>
      <c r="BM387" s="77"/>
      <c r="BN387" s="158"/>
      <c r="BO387" s="158"/>
    </row>
    <row r="388" spans="1:67" ht="15" x14ac:dyDescent="0.25">
      <c r="A388" s="71"/>
      <c r="B388" s="11"/>
      <c r="C388" s="11"/>
      <c r="D388" s="11"/>
      <c r="E388" s="11"/>
      <c r="F388" s="11"/>
      <c r="G388" s="11"/>
      <c r="H388" s="11"/>
      <c r="I388" s="11"/>
      <c r="J388" s="249"/>
      <c r="K388" s="72"/>
      <c r="L388" s="73"/>
      <c r="M388" s="73"/>
      <c r="N388" s="74"/>
      <c r="O388" s="75"/>
      <c r="P388" s="73"/>
      <c r="Q388" s="76"/>
      <c r="R388" s="76"/>
      <c r="S388" s="76"/>
      <c r="T388" s="76"/>
      <c r="U388" s="76"/>
      <c r="V388" s="76"/>
      <c r="W388" s="76"/>
      <c r="X388" s="76"/>
      <c r="Y388" s="76"/>
      <c r="Z388" s="77"/>
      <c r="AA388" s="77"/>
      <c r="AB388" s="77"/>
      <c r="AC388" s="77"/>
      <c r="AD388" s="77"/>
      <c r="AE388" s="77"/>
      <c r="AF388" s="77"/>
      <c r="AG388" s="77"/>
      <c r="AH388" s="78"/>
      <c r="AI388" s="78"/>
      <c r="AJ388" s="78"/>
      <c r="AK388" s="78"/>
      <c r="AL388" s="78"/>
      <c r="AM388" s="78"/>
      <c r="AN388" s="76"/>
      <c r="AO388" s="76"/>
      <c r="AP388" s="76"/>
      <c r="AQ388" s="76"/>
      <c r="AR388" s="76"/>
      <c r="AS388" s="76"/>
      <c r="AT388" s="76"/>
      <c r="AU388" s="76"/>
      <c r="AV388" s="76"/>
      <c r="AW388" s="79"/>
      <c r="AX388" s="79"/>
      <c r="AY388" s="79"/>
      <c r="AZ388" s="79"/>
      <c r="BA388" s="79"/>
      <c r="BB388" s="11"/>
      <c r="BC388" s="11"/>
      <c r="BD388" s="11"/>
      <c r="BE388" s="73"/>
      <c r="BF388" s="73"/>
      <c r="BG388" s="73"/>
      <c r="BH388" s="77"/>
      <c r="BI388" s="77"/>
      <c r="BJ388" s="77"/>
      <c r="BK388" s="77"/>
      <c r="BL388" s="77"/>
      <c r="BM388" s="77"/>
      <c r="BN388" s="158"/>
      <c r="BO388" s="158"/>
    </row>
    <row r="389" spans="1:67" ht="15" x14ac:dyDescent="0.25">
      <c r="A389" s="71"/>
      <c r="B389" s="11"/>
      <c r="C389" s="11"/>
      <c r="D389" s="11"/>
      <c r="E389" s="11"/>
      <c r="F389" s="11"/>
      <c r="G389" s="11"/>
      <c r="H389" s="11"/>
      <c r="I389" s="11"/>
      <c r="J389" s="249"/>
      <c r="K389" s="72"/>
      <c r="L389" s="73"/>
      <c r="M389" s="73"/>
      <c r="N389" s="74"/>
      <c r="O389" s="75"/>
      <c r="P389" s="73"/>
      <c r="Q389" s="76"/>
      <c r="R389" s="76"/>
      <c r="S389" s="76"/>
      <c r="T389" s="76"/>
      <c r="U389" s="76"/>
      <c r="V389" s="76"/>
      <c r="W389" s="76"/>
      <c r="X389" s="76"/>
      <c r="Y389" s="76"/>
      <c r="Z389" s="77"/>
      <c r="AA389" s="77"/>
      <c r="AB389" s="77"/>
      <c r="AC389" s="77"/>
      <c r="AD389" s="77"/>
      <c r="AE389" s="77"/>
      <c r="AF389" s="77"/>
      <c r="AG389" s="77"/>
      <c r="AH389" s="78"/>
      <c r="AI389" s="78"/>
      <c r="AJ389" s="78"/>
      <c r="AK389" s="78"/>
      <c r="AL389" s="78"/>
      <c r="AM389" s="78"/>
      <c r="AN389" s="76"/>
      <c r="AO389" s="76"/>
      <c r="AP389" s="76"/>
      <c r="AQ389" s="76"/>
      <c r="AR389" s="76"/>
      <c r="AS389" s="76"/>
      <c r="AT389" s="76"/>
      <c r="AU389" s="76"/>
      <c r="AV389" s="76"/>
      <c r="AW389" s="79"/>
      <c r="AX389" s="79"/>
      <c r="AY389" s="79"/>
      <c r="AZ389" s="79"/>
      <c r="BA389" s="79"/>
      <c r="BB389" s="11"/>
      <c r="BC389" s="11"/>
      <c r="BD389" s="11"/>
      <c r="BE389" s="73"/>
      <c r="BF389" s="73"/>
      <c r="BG389" s="73"/>
      <c r="BH389" s="77"/>
      <c r="BI389" s="77"/>
      <c r="BJ389" s="77"/>
      <c r="BK389" s="77"/>
      <c r="BL389" s="77"/>
      <c r="BM389" s="77"/>
      <c r="BN389" s="158"/>
      <c r="BO389" s="158"/>
    </row>
    <row r="390" spans="1:67" ht="15" x14ac:dyDescent="0.25">
      <c r="A390" s="71"/>
      <c r="B390" s="11"/>
      <c r="C390" s="11"/>
      <c r="D390" s="11"/>
      <c r="E390" s="11"/>
      <c r="F390" s="11"/>
      <c r="G390" s="11"/>
      <c r="H390" s="11"/>
      <c r="I390" s="11"/>
      <c r="J390" s="249"/>
      <c r="K390" s="72"/>
      <c r="L390" s="73"/>
      <c r="M390" s="73"/>
      <c r="N390" s="74"/>
      <c r="O390" s="75"/>
      <c r="P390" s="73"/>
      <c r="Q390" s="76"/>
      <c r="R390" s="76"/>
      <c r="S390" s="76"/>
      <c r="T390" s="76"/>
      <c r="U390" s="76"/>
      <c r="V390" s="76"/>
      <c r="W390" s="76"/>
      <c r="X390" s="76"/>
      <c r="Y390" s="76"/>
      <c r="Z390" s="77"/>
      <c r="AA390" s="77"/>
      <c r="AB390" s="77"/>
      <c r="AC390" s="77"/>
      <c r="AD390" s="77"/>
      <c r="AE390" s="77"/>
      <c r="AF390" s="77"/>
      <c r="AG390" s="77"/>
      <c r="AH390" s="78"/>
      <c r="AI390" s="78"/>
      <c r="AJ390" s="78"/>
      <c r="AK390" s="78"/>
      <c r="AL390" s="78"/>
      <c r="AM390" s="78"/>
      <c r="AN390" s="76"/>
      <c r="AO390" s="76"/>
      <c r="AP390" s="76"/>
      <c r="AQ390" s="76"/>
      <c r="AR390" s="76"/>
      <c r="AS390" s="76"/>
      <c r="AT390" s="76"/>
      <c r="AU390" s="76"/>
      <c r="AV390" s="76"/>
      <c r="AW390" s="79"/>
      <c r="AX390" s="79"/>
      <c r="AY390" s="79"/>
      <c r="AZ390" s="79"/>
      <c r="BA390" s="79"/>
      <c r="BB390" s="11"/>
      <c r="BC390" s="11"/>
      <c r="BD390" s="11"/>
      <c r="BE390" s="73"/>
      <c r="BF390" s="73"/>
      <c r="BG390" s="73"/>
      <c r="BH390" s="77"/>
      <c r="BI390" s="77"/>
      <c r="BJ390" s="77"/>
      <c r="BK390" s="77"/>
      <c r="BL390" s="77"/>
      <c r="BM390" s="77"/>
      <c r="BN390" s="158"/>
      <c r="BO390" s="158"/>
    </row>
    <row r="391" spans="1:67" ht="15" x14ac:dyDescent="0.25">
      <c r="A391" s="71"/>
      <c r="B391" s="11"/>
      <c r="C391" s="11"/>
      <c r="D391" s="11"/>
      <c r="E391" s="11"/>
      <c r="F391" s="11"/>
      <c r="G391" s="11"/>
      <c r="H391" s="11"/>
      <c r="I391" s="11"/>
      <c r="J391" s="249"/>
      <c r="K391" s="72"/>
      <c r="L391" s="73"/>
      <c r="M391" s="73"/>
      <c r="N391" s="74"/>
      <c r="O391" s="75"/>
      <c r="P391" s="73"/>
      <c r="Q391" s="76"/>
      <c r="R391" s="76"/>
      <c r="S391" s="76"/>
      <c r="T391" s="76"/>
      <c r="U391" s="76"/>
      <c r="V391" s="76"/>
      <c r="W391" s="76"/>
      <c r="X391" s="76"/>
      <c r="Y391" s="76"/>
      <c r="Z391" s="77"/>
      <c r="AA391" s="77"/>
      <c r="AB391" s="77"/>
      <c r="AC391" s="77"/>
      <c r="AD391" s="77"/>
      <c r="AE391" s="77"/>
      <c r="AF391" s="77"/>
      <c r="AG391" s="77"/>
      <c r="AH391" s="78"/>
      <c r="AI391" s="78"/>
      <c r="AJ391" s="78"/>
      <c r="AK391" s="78"/>
      <c r="AL391" s="78"/>
      <c r="AM391" s="78"/>
      <c r="AN391" s="76"/>
      <c r="AO391" s="76"/>
      <c r="AP391" s="76"/>
      <c r="AQ391" s="76"/>
      <c r="AR391" s="76"/>
      <c r="AS391" s="76"/>
      <c r="AT391" s="76"/>
      <c r="AU391" s="76"/>
      <c r="AV391" s="76"/>
      <c r="AW391" s="79"/>
      <c r="AX391" s="79"/>
      <c r="AY391" s="79"/>
      <c r="AZ391" s="79"/>
      <c r="BA391" s="79"/>
      <c r="BB391" s="11"/>
      <c r="BC391" s="11"/>
      <c r="BD391" s="11"/>
      <c r="BE391" s="73"/>
      <c r="BF391" s="73"/>
      <c r="BG391" s="73"/>
      <c r="BH391" s="77"/>
      <c r="BI391" s="77"/>
      <c r="BJ391" s="77"/>
      <c r="BK391" s="77"/>
      <c r="BL391" s="77"/>
      <c r="BM391" s="77"/>
      <c r="BN391" s="158"/>
      <c r="BO391" s="158"/>
    </row>
    <row r="392" spans="1:67" ht="15" x14ac:dyDescent="0.25">
      <c r="A392" s="71"/>
      <c r="B392" s="11"/>
      <c r="C392" s="11"/>
      <c r="D392" s="11"/>
      <c r="E392" s="11"/>
      <c r="F392" s="11"/>
      <c r="G392" s="11"/>
      <c r="H392" s="11"/>
      <c r="I392" s="11"/>
      <c r="J392" s="249"/>
      <c r="K392" s="72"/>
      <c r="L392" s="73"/>
      <c r="M392" s="73"/>
      <c r="N392" s="74"/>
      <c r="O392" s="75"/>
      <c r="P392" s="73"/>
      <c r="Q392" s="76"/>
      <c r="R392" s="76"/>
      <c r="S392" s="76"/>
      <c r="T392" s="76"/>
      <c r="U392" s="76"/>
      <c r="V392" s="76"/>
      <c r="W392" s="76"/>
      <c r="X392" s="76"/>
      <c r="Y392" s="76"/>
      <c r="Z392" s="77"/>
      <c r="AA392" s="77"/>
      <c r="AB392" s="77"/>
      <c r="AC392" s="77"/>
      <c r="AD392" s="77"/>
      <c r="AE392" s="77"/>
      <c r="AF392" s="77"/>
      <c r="AG392" s="77"/>
      <c r="AH392" s="78"/>
      <c r="AI392" s="78"/>
      <c r="AJ392" s="78"/>
      <c r="AK392" s="78"/>
      <c r="AL392" s="78"/>
      <c r="AM392" s="78"/>
      <c r="AN392" s="76"/>
      <c r="AO392" s="76"/>
      <c r="AP392" s="76"/>
      <c r="AQ392" s="76"/>
      <c r="AR392" s="76"/>
      <c r="AS392" s="76"/>
      <c r="AT392" s="76"/>
      <c r="AU392" s="76"/>
      <c r="AV392" s="76"/>
      <c r="AW392" s="79"/>
      <c r="AX392" s="79"/>
      <c r="AY392" s="79"/>
      <c r="AZ392" s="79"/>
      <c r="BA392" s="79"/>
      <c r="BB392" s="11"/>
      <c r="BC392" s="11"/>
      <c r="BD392" s="11"/>
      <c r="BE392" s="73"/>
      <c r="BF392" s="73"/>
      <c r="BG392" s="73"/>
      <c r="BH392" s="77"/>
      <c r="BI392" s="77"/>
      <c r="BJ392" s="77"/>
      <c r="BK392" s="77"/>
      <c r="BL392" s="77"/>
      <c r="BM392" s="77"/>
      <c r="BN392" s="158"/>
      <c r="BO392" s="158"/>
    </row>
    <row r="393" spans="1:67" ht="15" x14ac:dyDescent="0.25">
      <c r="A393" s="71"/>
      <c r="B393" s="11"/>
      <c r="C393" s="11"/>
      <c r="D393" s="11"/>
      <c r="E393" s="11"/>
      <c r="F393" s="11"/>
      <c r="G393" s="11"/>
      <c r="H393" s="11"/>
      <c r="I393" s="11"/>
      <c r="J393" s="249"/>
      <c r="K393" s="72"/>
      <c r="L393" s="73"/>
      <c r="M393" s="73"/>
      <c r="N393" s="74"/>
      <c r="O393" s="75"/>
      <c r="P393" s="73"/>
      <c r="Q393" s="76"/>
      <c r="R393" s="76"/>
      <c r="S393" s="76"/>
      <c r="T393" s="76"/>
      <c r="U393" s="76"/>
      <c r="V393" s="76"/>
      <c r="W393" s="76"/>
      <c r="X393" s="76"/>
      <c r="Y393" s="76"/>
      <c r="Z393" s="77"/>
      <c r="AA393" s="77"/>
      <c r="AB393" s="77"/>
      <c r="AC393" s="77"/>
      <c r="AD393" s="77"/>
      <c r="AE393" s="77"/>
      <c r="AF393" s="77"/>
      <c r="AG393" s="77"/>
      <c r="AH393" s="78"/>
      <c r="AI393" s="78"/>
      <c r="AJ393" s="78"/>
      <c r="AK393" s="78"/>
      <c r="AL393" s="78"/>
      <c r="AM393" s="78"/>
      <c r="AN393" s="76"/>
      <c r="AO393" s="76"/>
      <c r="AP393" s="76"/>
      <c r="AQ393" s="76"/>
      <c r="AR393" s="76"/>
      <c r="AS393" s="76"/>
      <c r="AT393" s="76"/>
      <c r="AU393" s="76"/>
      <c r="AV393" s="76"/>
      <c r="AW393" s="79"/>
      <c r="AX393" s="79"/>
      <c r="AY393" s="79"/>
      <c r="AZ393" s="79"/>
      <c r="BA393" s="79"/>
      <c r="BB393" s="11"/>
      <c r="BC393" s="11"/>
      <c r="BD393" s="11"/>
      <c r="BE393" s="73"/>
      <c r="BF393" s="73"/>
      <c r="BG393" s="73"/>
      <c r="BH393" s="77"/>
      <c r="BI393" s="77"/>
      <c r="BJ393" s="77"/>
      <c r="BK393" s="77"/>
      <c r="BL393" s="77"/>
      <c r="BM393" s="77"/>
      <c r="BN393" s="158"/>
      <c r="BO393" s="158"/>
    </row>
    <row r="394" spans="1:67" ht="15" x14ac:dyDescent="0.25">
      <c r="A394" s="71"/>
      <c r="B394" s="11"/>
      <c r="C394" s="11"/>
      <c r="D394" s="11"/>
      <c r="E394" s="11"/>
      <c r="F394" s="11"/>
      <c r="G394" s="11"/>
      <c r="H394" s="11"/>
      <c r="I394" s="11"/>
      <c r="J394" s="249"/>
      <c r="K394" s="72"/>
      <c r="L394" s="73"/>
      <c r="M394" s="73"/>
      <c r="N394" s="74"/>
      <c r="O394" s="75"/>
      <c r="P394" s="73"/>
      <c r="Q394" s="76"/>
      <c r="R394" s="76"/>
      <c r="S394" s="76"/>
      <c r="T394" s="76"/>
      <c r="U394" s="76"/>
      <c r="V394" s="76"/>
      <c r="W394" s="76"/>
      <c r="X394" s="76"/>
      <c r="Y394" s="76"/>
      <c r="Z394" s="77"/>
      <c r="AA394" s="77"/>
      <c r="AB394" s="77"/>
      <c r="AC394" s="77"/>
      <c r="AD394" s="77"/>
      <c r="AE394" s="77"/>
      <c r="AF394" s="77"/>
      <c r="AG394" s="77"/>
      <c r="AH394" s="78"/>
      <c r="AI394" s="78"/>
      <c r="AJ394" s="78"/>
      <c r="AK394" s="78"/>
      <c r="AL394" s="78"/>
      <c r="AM394" s="78"/>
      <c r="AN394" s="76"/>
      <c r="AO394" s="76"/>
      <c r="AP394" s="76"/>
      <c r="AQ394" s="76"/>
      <c r="AR394" s="76"/>
      <c r="AS394" s="76"/>
      <c r="AT394" s="76"/>
      <c r="AU394" s="76"/>
      <c r="AV394" s="76"/>
      <c r="AW394" s="79"/>
      <c r="AX394" s="79"/>
      <c r="AY394" s="79"/>
      <c r="AZ394" s="79"/>
      <c r="BA394" s="79"/>
      <c r="BB394" s="11"/>
      <c r="BC394" s="11"/>
      <c r="BD394" s="11"/>
      <c r="BE394" s="73"/>
      <c r="BF394" s="73"/>
      <c r="BG394" s="73"/>
      <c r="BH394" s="77"/>
      <c r="BI394" s="77"/>
      <c r="BJ394" s="77"/>
      <c r="BK394" s="77"/>
      <c r="BL394" s="77"/>
      <c r="BM394" s="77"/>
      <c r="BN394" s="158"/>
      <c r="BO394" s="158"/>
    </row>
    <row r="395" spans="1:67" ht="15" x14ac:dyDescent="0.25">
      <c r="A395" s="71"/>
      <c r="B395" s="11"/>
      <c r="C395" s="11"/>
      <c r="D395" s="11"/>
      <c r="E395" s="11"/>
      <c r="F395" s="11"/>
      <c r="G395" s="11"/>
      <c r="H395" s="11"/>
      <c r="I395" s="11"/>
      <c r="J395" s="249"/>
      <c r="K395" s="72"/>
      <c r="L395" s="73"/>
      <c r="M395" s="73"/>
      <c r="N395" s="74"/>
      <c r="O395" s="75"/>
      <c r="P395" s="73"/>
      <c r="Q395" s="76"/>
      <c r="R395" s="76"/>
      <c r="S395" s="76"/>
      <c r="T395" s="76"/>
      <c r="U395" s="76"/>
      <c r="V395" s="76"/>
      <c r="W395" s="76"/>
      <c r="X395" s="76"/>
      <c r="Y395" s="76"/>
      <c r="Z395" s="77"/>
      <c r="AA395" s="77"/>
      <c r="AB395" s="77"/>
      <c r="AC395" s="77"/>
      <c r="AD395" s="77"/>
      <c r="AE395" s="77"/>
      <c r="AF395" s="77"/>
      <c r="AG395" s="77"/>
      <c r="AH395" s="78"/>
      <c r="AI395" s="78"/>
      <c r="AJ395" s="78"/>
      <c r="AK395" s="78"/>
      <c r="AL395" s="78"/>
      <c r="AM395" s="78"/>
      <c r="AN395" s="76"/>
      <c r="AO395" s="76"/>
      <c r="AP395" s="76"/>
      <c r="AQ395" s="76"/>
      <c r="AR395" s="76"/>
      <c r="AS395" s="76"/>
      <c r="AT395" s="76"/>
      <c r="AU395" s="76"/>
      <c r="AV395" s="76"/>
      <c r="AW395" s="79"/>
      <c r="AX395" s="79"/>
      <c r="AY395" s="79"/>
      <c r="AZ395" s="79"/>
      <c r="BA395" s="79"/>
      <c r="BB395" s="11"/>
      <c r="BC395" s="11"/>
      <c r="BD395" s="11"/>
      <c r="BE395" s="73"/>
      <c r="BF395" s="73"/>
      <c r="BG395" s="73"/>
      <c r="BH395" s="77"/>
      <c r="BI395" s="77"/>
      <c r="BJ395" s="77"/>
      <c r="BK395" s="77"/>
      <c r="BL395" s="77"/>
      <c r="BM395" s="77"/>
      <c r="BN395" s="158"/>
      <c r="BO395" s="158"/>
    </row>
    <row r="396" spans="1:67" ht="15" x14ac:dyDescent="0.25">
      <c r="A396" s="71"/>
      <c r="B396" s="11"/>
      <c r="C396" s="11"/>
      <c r="D396" s="11"/>
      <c r="E396" s="11"/>
      <c r="F396" s="11"/>
      <c r="G396" s="11"/>
      <c r="H396" s="11"/>
      <c r="I396" s="11"/>
      <c r="J396" s="249"/>
      <c r="K396" s="72"/>
      <c r="L396" s="73"/>
      <c r="M396" s="73"/>
      <c r="N396" s="74"/>
      <c r="O396" s="75"/>
      <c r="P396" s="73"/>
      <c r="Q396" s="76"/>
      <c r="R396" s="76"/>
      <c r="S396" s="76"/>
      <c r="T396" s="76"/>
      <c r="U396" s="76"/>
      <c r="V396" s="76"/>
      <c r="W396" s="76"/>
      <c r="X396" s="76"/>
      <c r="Y396" s="76"/>
      <c r="Z396" s="77"/>
      <c r="AA396" s="77"/>
      <c r="AB396" s="77"/>
      <c r="AC396" s="77"/>
      <c r="AD396" s="77"/>
      <c r="AE396" s="77"/>
      <c r="AF396" s="77"/>
      <c r="AG396" s="77"/>
      <c r="AH396" s="78"/>
      <c r="AI396" s="78"/>
      <c r="AJ396" s="78"/>
      <c r="AK396" s="78"/>
      <c r="AL396" s="78"/>
      <c r="AM396" s="78"/>
      <c r="AN396" s="76"/>
      <c r="AO396" s="76"/>
      <c r="AP396" s="76"/>
      <c r="AQ396" s="76"/>
      <c r="AR396" s="76"/>
      <c r="AS396" s="76"/>
      <c r="AT396" s="76"/>
      <c r="AU396" s="76"/>
      <c r="AV396" s="76"/>
      <c r="AW396" s="79"/>
      <c r="AX396" s="79"/>
      <c r="AY396" s="79"/>
      <c r="AZ396" s="79"/>
      <c r="BA396" s="79"/>
      <c r="BB396" s="11"/>
      <c r="BC396" s="11"/>
      <c r="BD396" s="11"/>
      <c r="BE396" s="73"/>
      <c r="BF396" s="73"/>
      <c r="BG396" s="73"/>
      <c r="BH396" s="77"/>
      <c r="BI396" s="77"/>
      <c r="BJ396" s="77"/>
      <c r="BK396" s="77"/>
      <c r="BL396" s="77"/>
      <c r="BM396" s="77"/>
      <c r="BN396" s="158"/>
      <c r="BO396" s="158"/>
    </row>
    <row r="397" spans="1:67" ht="15" x14ac:dyDescent="0.25">
      <c r="A397" s="71"/>
      <c r="B397" s="11"/>
      <c r="C397" s="11"/>
      <c r="D397" s="11"/>
      <c r="E397" s="11"/>
      <c r="F397" s="11"/>
      <c r="G397" s="11"/>
      <c r="H397" s="11"/>
      <c r="I397" s="11"/>
      <c r="J397" s="249"/>
      <c r="K397" s="72"/>
      <c r="L397" s="73"/>
      <c r="M397" s="73"/>
      <c r="N397" s="74"/>
      <c r="O397" s="75"/>
      <c r="P397" s="73"/>
      <c r="Q397" s="76"/>
      <c r="R397" s="76"/>
      <c r="S397" s="76"/>
      <c r="T397" s="76"/>
      <c r="U397" s="76"/>
      <c r="V397" s="76"/>
      <c r="W397" s="76"/>
      <c r="X397" s="76"/>
      <c r="Y397" s="76"/>
      <c r="Z397" s="77"/>
      <c r="AA397" s="77"/>
      <c r="AB397" s="77"/>
      <c r="AC397" s="77"/>
      <c r="AD397" s="77"/>
      <c r="AE397" s="77"/>
      <c r="AF397" s="77"/>
      <c r="AG397" s="77"/>
      <c r="AH397" s="78"/>
      <c r="AI397" s="78"/>
      <c r="AJ397" s="78"/>
      <c r="AK397" s="78"/>
      <c r="AL397" s="78"/>
      <c r="AM397" s="78"/>
      <c r="AN397" s="76"/>
      <c r="AO397" s="76"/>
      <c r="AP397" s="76"/>
      <c r="AQ397" s="76"/>
      <c r="AR397" s="76"/>
      <c r="AS397" s="76"/>
      <c r="AT397" s="76"/>
      <c r="AU397" s="76"/>
      <c r="AV397" s="76"/>
      <c r="AW397" s="79"/>
      <c r="AX397" s="79"/>
      <c r="AY397" s="79"/>
      <c r="AZ397" s="79"/>
      <c r="BA397" s="79"/>
      <c r="BB397" s="11"/>
      <c r="BC397" s="11"/>
      <c r="BD397" s="11"/>
      <c r="BE397" s="73"/>
      <c r="BF397" s="73"/>
      <c r="BG397" s="73"/>
      <c r="BH397" s="77"/>
      <c r="BI397" s="77"/>
      <c r="BJ397" s="77"/>
      <c r="BK397" s="77"/>
      <c r="BL397" s="77"/>
      <c r="BM397" s="77"/>
      <c r="BN397" s="158"/>
      <c r="BO397" s="158"/>
    </row>
    <row r="398" spans="1:67" ht="15" x14ac:dyDescent="0.25">
      <c r="A398" s="71"/>
      <c r="B398" s="11"/>
      <c r="C398" s="11"/>
      <c r="D398" s="11"/>
      <c r="E398" s="11"/>
      <c r="F398" s="11"/>
      <c r="G398" s="11"/>
      <c r="H398" s="11"/>
      <c r="I398" s="11"/>
      <c r="J398" s="249"/>
      <c r="K398" s="72"/>
      <c r="L398" s="73"/>
      <c r="M398" s="73"/>
      <c r="N398" s="74"/>
      <c r="O398" s="75"/>
      <c r="P398" s="73"/>
      <c r="Q398" s="76"/>
      <c r="R398" s="76"/>
      <c r="S398" s="76"/>
      <c r="T398" s="76"/>
      <c r="U398" s="76"/>
      <c r="V398" s="76"/>
      <c r="W398" s="76"/>
      <c r="X398" s="76"/>
      <c r="Y398" s="76"/>
      <c r="Z398" s="77"/>
      <c r="AA398" s="77"/>
      <c r="AB398" s="77"/>
      <c r="AC398" s="77"/>
      <c r="AD398" s="77"/>
      <c r="AE398" s="77"/>
      <c r="AF398" s="77"/>
      <c r="AG398" s="77"/>
      <c r="AH398" s="78"/>
      <c r="AI398" s="78"/>
      <c r="AJ398" s="78"/>
      <c r="AK398" s="78"/>
      <c r="AL398" s="78"/>
      <c r="AM398" s="78"/>
      <c r="AN398" s="76"/>
      <c r="AO398" s="76"/>
      <c r="AP398" s="76"/>
      <c r="AQ398" s="76"/>
      <c r="AR398" s="76"/>
      <c r="AS398" s="76"/>
      <c r="AT398" s="76"/>
      <c r="AU398" s="76"/>
      <c r="AV398" s="76"/>
      <c r="AW398" s="79"/>
      <c r="AX398" s="79"/>
      <c r="AY398" s="79"/>
      <c r="AZ398" s="79"/>
      <c r="BA398" s="79"/>
      <c r="BB398" s="11"/>
      <c r="BC398" s="11"/>
      <c r="BD398" s="11"/>
      <c r="BE398" s="73"/>
      <c r="BF398" s="73"/>
      <c r="BG398" s="73"/>
      <c r="BH398" s="77"/>
      <c r="BI398" s="77"/>
      <c r="BJ398" s="77"/>
      <c r="BK398" s="77"/>
      <c r="BL398" s="77"/>
      <c r="BM398" s="77"/>
      <c r="BN398" s="158"/>
      <c r="BO398" s="158"/>
    </row>
    <row r="399" spans="1:67" ht="15" x14ac:dyDescent="0.25">
      <c r="A399" s="71"/>
      <c r="B399" s="11"/>
      <c r="C399" s="11"/>
      <c r="D399" s="11"/>
      <c r="E399" s="11"/>
      <c r="F399" s="11"/>
      <c r="G399" s="11"/>
      <c r="H399" s="11"/>
      <c r="I399" s="11"/>
      <c r="J399" s="249"/>
      <c r="K399" s="72"/>
      <c r="L399" s="73"/>
      <c r="M399" s="73"/>
      <c r="N399" s="74"/>
      <c r="O399" s="75"/>
      <c r="P399" s="73"/>
      <c r="Q399" s="76"/>
      <c r="R399" s="76"/>
      <c r="S399" s="76"/>
      <c r="T399" s="76"/>
      <c r="U399" s="76"/>
      <c r="V399" s="76"/>
      <c r="W399" s="76"/>
      <c r="X399" s="76"/>
      <c r="Y399" s="76"/>
      <c r="Z399" s="77"/>
      <c r="AA399" s="77"/>
      <c r="AB399" s="77"/>
      <c r="AC399" s="77"/>
      <c r="AD399" s="77"/>
      <c r="AE399" s="77"/>
      <c r="AF399" s="77"/>
      <c r="AG399" s="77"/>
      <c r="AH399" s="78"/>
      <c r="AI399" s="78"/>
      <c r="AJ399" s="78"/>
      <c r="AK399" s="78"/>
      <c r="AL399" s="78"/>
      <c r="AM399" s="78"/>
      <c r="AN399" s="76"/>
      <c r="AO399" s="76"/>
      <c r="AP399" s="76"/>
      <c r="AQ399" s="76"/>
      <c r="AR399" s="76"/>
      <c r="AS399" s="76"/>
      <c r="AT399" s="76"/>
      <c r="AU399" s="76"/>
      <c r="AV399" s="76"/>
      <c r="AW399" s="79"/>
      <c r="AX399" s="79"/>
      <c r="AY399" s="79"/>
      <c r="AZ399" s="79"/>
      <c r="BA399" s="79"/>
      <c r="BB399" s="11"/>
      <c r="BC399" s="11"/>
      <c r="BD399" s="11"/>
      <c r="BE399" s="73"/>
      <c r="BF399" s="73"/>
      <c r="BG399" s="73"/>
      <c r="BH399" s="77"/>
      <c r="BI399" s="77"/>
      <c r="BJ399" s="77"/>
      <c r="BK399" s="77"/>
      <c r="BL399" s="77"/>
      <c r="BM399" s="77"/>
      <c r="BN399" s="158"/>
      <c r="BO399" s="158"/>
    </row>
    <row r="400" spans="1:67" ht="15" x14ac:dyDescent="0.25">
      <c r="A400" s="71"/>
      <c r="B400" s="11"/>
      <c r="C400" s="11"/>
      <c r="D400" s="11"/>
      <c r="E400" s="11"/>
      <c r="F400" s="11"/>
      <c r="G400" s="11"/>
      <c r="H400" s="11"/>
      <c r="I400" s="11"/>
      <c r="J400" s="249"/>
      <c r="K400" s="72"/>
      <c r="L400" s="73"/>
      <c r="M400" s="73"/>
      <c r="N400" s="74"/>
      <c r="O400" s="75"/>
      <c r="P400" s="73"/>
      <c r="Q400" s="76"/>
      <c r="R400" s="76"/>
      <c r="S400" s="76"/>
      <c r="T400" s="76"/>
      <c r="U400" s="76"/>
      <c r="V400" s="76"/>
      <c r="W400" s="76"/>
      <c r="X400" s="76"/>
      <c r="Y400" s="76"/>
      <c r="Z400" s="77"/>
      <c r="AA400" s="77"/>
      <c r="AB400" s="77"/>
      <c r="AC400" s="77"/>
      <c r="AD400" s="77"/>
      <c r="AE400" s="77"/>
      <c r="AF400" s="77"/>
      <c r="AG400" s="77"/>
      <c r="AH400" s="78"/>
      <c r="AI400" s="78"/>
      <c r="AJ400" s="78"/>
      <c r="AK400" s="78"/>
      <c r="AL400" s="78"/>
      <c r="AM400" s="78"/>
      <c r="AN400" s="76"/>
      <c r="AO400" s="76"/>
      <c r="AP400" s="76"/>
      <c r="AQ400" s="76"/>
      <c r="AR400" s="76"/>
      <c r="AS400" s="76"/>
      <c r="AT400" s="76"/>
      <c r="AU400" s="76"/>
      <c r="AV400" s="76"/>
      <c r="AW400" s="79"/>
      <c r="AX400" s="79"/>
      <c r="AY400" s="79"/>
      <c r="AZ400" s="79"/>
      <c r="BA400" s="79"/>
      <c r="BB400" s="11"/>
      <c r="BC400" s="11"/>
      <c r="BD400" s="11"/>
      <c r="BE400" s="73"/>
      <c r="BF400" s="73"/>
      <c r="BG400" s="73"/>
      <c r="BH400" s="77"/>
      <c r="BI400" s="77"/>
      <c r="BJ400" s="77"/>
      <c r="BK400" s="77"/>
      <c r="BL400" s="77"/>
      <c r="BM400" s="77"/>
      <c r="BN400" s="158"/>
      <c r="BO400" s="158"/>
    </row>
    <row r="401" spans="1:67" ht="15" x14ac:dyDescent="0.25">
      <c r="A401" s="71"/>
      <c r="B401" s="11"/>
      <c r="C401" s="11"/>
      <c r="D401" s="11"/>
      <c r="E401" s="11"/>
      <c r="F401" s="11"/>
      <c r="G401" s="11"/>
      <c r="H401" s="11"/>
      <c r="I401" s="11"/>
      <c r="J401" s="249"/>
      <c r="K401" s="72"/>
      <c r="L401" s="73"/>
      <c r="M401" s="73"/>
      <c r="N401" s="74"/>
      <c r="O401" s="75"/>
      <c r="P401" s="73"/>
      <c r="Q401" s="76"/>
      <c r="R401" s="76"/>
      <c r="S401" s="76"/>
      <c r="T401" s="76"/>
      <c r="U401" s="76"/>
      <c r="V401" s="76"/>
      <c r="W401" s="76"/>
      <c r="X401" s="76"/>
      <c r="Y401" s="76"/>
      <c r="Z401" s="77"/>
      <c r="AA401" s="77"/>
      <c r="AB401" s="77"/>
      <c r="AC401" s="77"/>
      <c r="AD401" s="77"/>
      <c r="AE401" s="77"/>
      <c r="AF401" s="77"/>
      <c r="AG401" s="77"/>
      <c r="AH401" s="78"/>
      <c r="AI401" s="78"/>
      <c r="AJ401" s="78"/>
      <c r="AK401" s="78"/>
      <c r="AL401" s="78"/>
      <c r="AM401" s="78"/>
      <c r="AN401" s="76"/>
      <c r="AO401" s="76"/>
      <c r="AP401" s="76"/>
      <c r="AQ401" s="76"/>
      <c r="AR401" s="76"/>
      <c r="AS401" s="76"/>
      <c r="AT401" s="76"/>
      <c r="AU401" s="76"/>
      <c r="AV401" s="76"/>
      <c r="AW401" s="79"/>
      <c r="AX401" s="79"/>
      <c r="AY401" s="79"/>
      <c r="AZ401" s="79"/>
      <c r="BA401" s="79"/>
      <c r="BB401" s="11"/>
      <c r="BC401" s="11"/>
      <c r="BD401" s="11"/>
      <c r="BE401" s="73"/>
      <c r="BF401" s="73"/>
      <c r="BG401" s="73"/>
      <c r="BH401" s="77"/>
      <c r="BI401" s="77"/>
      <c r="BJ401" s="77"/>
      <c r="BK401" s="77"/>
      <c r="BL401" s="77"/>
      <c r="BM401" s="77"/>
      <c r="BN401" s="158"/>
      <c r="BO401" s="158"/>
    </row>
    <row r="402" spans="1:67" ht="15" x14ac:dyDescent="0.25">
      <c r="A402" s="71"/>
      <c r="B402" s="11"/>
      <c r="C402" s="11"/>
      <c r="D402" s="11"/>
      <c r="E402" s="11"/>
      <c r="F402" s="11"/>
      <c r="G402" s="11"/>
      <c r="H402" s="11"/>
      <c r="I402" s="11"/>
      <c r="J402" s="249"/>
      <c r="K402" s="72"/>
      <c r="L402" s="73"/>
      <c r="M402" s="73"/>
      <c r="N402" s="74"/>
      <c r="O402" s="75"/>
      <c r="P402" s="73"/>
      <c r="Q402" s="76"/>
      <c r="R402" s="76"/>
      <c r="S402" s="76"/>
      <c r="T402" s="76"/>
      <c r="U402" s="76"/>
      <c r="V402" s="76"/>
      <c r="W402" s="76"/>
      <c r="X402" s="76"/>
      <c r="Y402" s="76"/>
      <c r="Z402" s="77"/>
      <c r="AA402" s="77"/>
      <c r="AB402" s="77"/>
      <c r="AC402" s="77"/>
      <c r="AD402" s="77"/>
      <c r="AE402" s="77"/>
      <c r="AF402" s="77"/>
      <c r="AG402" s="77"/>
      <c r="AH402" s="78"/>
      <c r="AI402" s="78"/>
      <c r="AJ402" s="78"/>
      <c r="AK402" s="78"/>
      <c r="AL402" s="78"/>
      <c r="AM402" s="78"/>
      <c r="AN402" s="76"/>
      <c r="AO402" s="76"/>
      <c r="AP402" s="76"/>
      <c r="AQ402" s="76"/>
      <c r="AR402" s="76"/>
      <c r="AS402" s="76"/>
      <c r="AT402" s="76"/>
      <c r="AU402" s="76"/>
      <c r="AV402" s="76"/>
      <c r="AW402" s="79"/>
      <c r="AX402" s="79"/>
      <c r="AY402" s="79"/>
      <c r="AZ402" s="79"/>
      <c r="BA402" s="79"/>
      <c r="BB402" s="11"/>
      <c r="BC402" s="11"/>
      <c r="BD402" s="11"/>
      <c r="BE402" s="73"/>
      <c r="BF402" s="73"/>
      <c r="BG402" s="73"/>
      <c r="BH402" s="77"/>
      <c r="BI402" s="77"/>
      <c r="BJ402" s="77"/>
      <c r="BK402" s="77"/>
      <c r="BL402" s="77"/>
      <c r="BM402" s="77"/>
      <c r="BN402" s="158"/>
      <c r="BO402" s="158"/>
    </row>
    <row r="403" spans="1:67" ht="15" x14ac:dyDescent="0.25">
      <c r="A403" s="71"/>
      <c r="B403" s="11"/>
      <c r="C403" s="11"/>
      <c r="D403" s="11"/>
      <c r="E403" s="11"/>
      <c r="F403" s="11"/>
      <c r="G403" s="11"/>
      <c r="H403" s="11"/>
      <c r="I403" s="11"/>
      <c r="J403" s="249"/>
      <c r="K403" s="72"/>
      <c r="L403" s="73"/>
      <c r="M403" s="73"/>
      <c r="N403" s="74"/>
      <c r="O403" s="75"/>
      <c r="P403" s="73"/>
      <c r="Q403" s="76"/>
      <c r="R403" s="76"/>
      <c r="S403" s="76"/>
      <c r="T403" s="76"/>
      <c r="U403" s="76"/>
      <c r="V403" s="76"/>
      <c r="W403" s="76"/>
      <c r="X403" s="76"/>
      <c r="Y403" s="76"/>
      <c r="Z403" s="77"/>
      <c r="AA403" s="77"/>
      <c r="AB403" s="77"/>
      <c r="AC403" s="77"/>
      <c r="AD403" s="77"/>
      <c r="AE403" s="77"/>
      <c r="AF403" s="77"/>
      <c r="AG403" s="77"/>
      <c r="AH403" s="78"/>
      <c r="AI403" s="78"/>
      <c r="AJ403" s="78"/>
      <c r="AK403" s="78"/>
      <c r="AL403" s="78"/>
      <c r="AM403" s="78"/>
      <c r="AN403" s="76"/>
      <c r="AO403" s="76"/>
      <c r="AP403" s="76"/>
      <c r="AQ403" s="76"/>
      <c r="AR403" s="76"/>
      <c r="AS403" s="76"/>
      <c r="AT403" s="76"/>
      <c r="AU403" s="76"/>
      <c r="AV403" s="76"/>
      <c r="AW403" s="79"/>
      <c r="AX403" s="79"/>
      <c r="AY403" s="79"/>
      <c r="AZ403" s="79"/>
      <c r="BA403" s="79"/>
      <c r="BB403" s="11"/>
      <c r="BC403" s="11"/>
      <c r="BD403" s="11"/>
      <c r="BE403" s="73"/>
      <c r="BF403" s="73"/>
      <c r="BG403" s="73"/>
      <c r="BH403" s="77"/>
      <c r="BI403" s="77"/>
      <c r="BJ403" s="77"/>
      <c r="BK403" s="77"/>
      <c r="BL403" s="77"/>
      <c r="BM403" s="77"/>
      <c r="BN403" s="158"/>
      <c r="BO403" s="158"/>
    </row>
    <row r="404" spans="1:67" ht="15" x14ac:dyDescent="0.25">
      <c r="A404" s="71"/>
      <c r="B404" s="11"/>
      <c r="C404" s="11"/>
      <c r="D404" s="11"/>
      <c r="E404" s="11"/>
      <c r="F404" s="11"/>
      <c r="G404" s="11"/>
      <c r="H404" s="11"/>
      <c r="I404" s="11"/>
      <c r="J404" s="249"/>
      <c r="K404" s="72"/>
      <c r="L404" s="73"/>
      <c r="M404" s="73"/>
      <c r="N404" s="74"/>
      <c r="O404" s="75"/>
      <c r="P404" s="73"/>
      <c r="Q404" s="76"/>
      <c r="R404" s="76"/>
      <c r="S404" s="76"/>
      <c r="T404" s="76"/>
      <c r="U404" s="76"/>
      <c r="V404" s="76"/>
      <c r="W404" s="76"/>
      <c r="X404" s="76"/>
      <c r="Y404" s="76"/>
      <c r="Z404" s="77"/>
      <c r="AA404" s="77"/>
      <c r="AB404" s="77"/>
      <c r="AC404" s="77"/>
      <c r="AD404" s="77"/>
      <c r="AE404" s="77"/>
      <c r="AF404" s="77"/>
      <c r="AG404" s="77"/>
      <c r="AH404" s="78"/>
      <c r="AI404" s="78"/>
      <c r="AJ404" s="78"/>
      <c r="AK404" s="78"/>
      <c r="AL404" s="78"/>
      <c r="AM404" s="78"/>
      <c r="AN404" s="76"/>
      <c r="AO404" s="76"/>
      <c r="AP404" s="76"/>
      <c r="AQ404" s="76"/>
      <c r="AR404" s="76"/>
      <c r="AS404" s="76"/>
      <c r="AT404" s="76"/>
      <c r="AU404" s="76"/>
      <c r="AV404" s="76"/>
      <c r="AW404" s="79"/>
      <c r="AX404" s="79"/>
      <c r="AY404" s="79"/>
      <c r="AZ404" s="79"/>
      <c r="BA404" s="79"/>
      <c r="BB404" s="11"/>
      <c r="BC404" s="11"/>
      <c r="BD404" s="11"/>
      <c r="BE404" s="73"/>
      <c r="BF404" s="73"/>
      <c r="BG404" s="73"/>
      <c r="BH404" s="77"/>
      <c r="BI404" s="77"/>
      <c r="BJ404" s="77"/>
      <c r="BK404" s="77"/>
      <c r="BL404" s="77"/>
      <c r="BM404" s="77"/>
      <c r="BN404" s="158"/>
      <c r="BO404" s="158"/>
    </row>
    <row r="405" spans="1:67" ht="15" x14ac:dyDescent="0.25">
      <c r="A405" s="71"/>
      <c r="B405" s="11"/>
      <c r="C405" s="11"/>
      <c r="D405" s="11"/>
      <c r="E405" s="11"/>
      <c r="F405" s="11"/>
      <c r="G405" s="11"/>
      <c r="H405" s="11"/>
      <c r="I405" s="11"/>
      <c r="J405" s="249"/>
      <c r="K405" s="72"/>
      <c r="L405" s="73"/>
      <c r="M405" s="73"/>
      <c r="N405" s="74"/>
      <c r="O405" s="75"/>
      <c r="P405" s="73"/>
      <c r="Q405" s="76"/>
      <c r="R405" s="76"/>
      <c r="S405" s="76"/>
      <c r="T405" s="76"/>
      <c r="U405" s="76"/>
      <c r="V405" s="76"/>
      <c r="W405" s="76"/>
      <c r="X405" s="76"/>
      <c r="Y405" s="76"/>
      <c r="Z405" s="77"/>
      <c r="AA405" s="77"/>
      <c r="AB405" s="77"/>
      <c r="AC405" s="77"/>
      <c r="AD405" s="77"/>
      <c r="AE405" s="77"/>
      <c r="AF405" s="77"/>
      <c r="AG405" s="77"/>
      <c r="AH405" s="78"/>
      <c r="AI405" s="78"/>
      <c r="AJ405" s="78"/>
      <c r="AK405" s="78"/>
      <c r="AL405" s="78"/>
      <c r="AM405" s="78"/>
      <c r="AN405" s="76"/>
      <c r="AO405" s="76"/>
      <c r="AP405" s="76"/>
      <c r="AQ405" s="76"/>
      <c r="AR405" s="76"/>
      <c r="AS405" s="76"/>
      <c r="AT405" s="76"/>
      <c r="AU405" s="76"/>
      <c r="AV405" s="76"/>
      <c r="AW405" s="79"/>
      <c r="AX405" s="79"/>
      <c r="AY405" s="79"/>
      <c r="AZ405" s="79"/>
      <c r="BA405" s="79"/>
      <c r="BB405" s="11"/>
      <c r="BC405" s="11"/>
      <c r="BD405" s="11"/>
      <c r="BE405" s="73"/>
      <c r="BF405" s="73"/>
      <c r="BG405" s="73"/>
      <c r="BH405" s="77"/>
      <c r="BI405" s="77"/>
      <c r="BJ405" s="77"/>
      <c r="BK405" s="77"/>
      <c r="BL405" s="77"/>
      <c r="BM405" s="77"/>
      <c r="BN405" s="158"/>
      <c r="BO405" s="158"/>
    </row>
    <row r="406" spans="1:67" ht="15" x14ac:dyDescent="0.25">
      <c r="A406" s="71"/>
      <c r="B406" s="11"/>
      <c r="C406" s="11"/>
      <c r="D406" s="11"/>
      <c r="E406" s="11"/>
      <c r="F406" s="11"/>
      <c r="G406" s="11"/>
      <c r="H406" s="11"/>
      <c r="I406" s="11"/>
      <c r="J406" s="249"/>
      <c r="K406" s="72"/>
      <c r="L406" s="73"/>
      <c r="M406" s="73"/>
      <c r="N406" s="74"/>
      <c r="O406" s="75"/>
      <c r="P406" s="73"/>
      <c r="Q406" s="76"/>
      <c r="R406" s="76"/>
      <c r="S406" s="76"/>
      <c r="T406" s="76"/>
      <c r="U406" s="76"/>
      <c r="V406" s="76"/>
      <c r="W406" s="76"/>
      <c r="X406" s="76"/>
      <c r="Y406" s="76"/>
      <c r="Z406" s="77"/>
      <c r="AA406" s="77"/>
      <c r="AB406" s="77"/>
      <c r="AC406" s="77"/>
      <c r="AD406" s="77"/>
      <c r="AE406" s="77"/>
      <c r="AF406" s="77"/>
      <c r="AG406" s="77"/>
      <c r="AH406" s="78"/>
      <c r="AI406" s="78"/>
      <c r="AJ406" s="78"/>
      <c r="AK406" s="78"/>
      <c r="AL406" s="78"/>
      <c r="AM406" s="78"/>
      <c r="AN406" s="76"/>
      <c r="AO406" s="76"/>
      <c r="AP406" s="76"/>
      <c r="AQ406" s="76"/>
      <c r="AR406" s="76"/>
      <c r="AS406" s="76"/>
      <c r="AT406" s="76"/>
      <c r="AU406" s="76"/>
      <c r="AV406" s="76"/>
      <c r="AW406" s="79"/>
      <c r="AX406" s="79"/>
      <c r="AY406" s="79"/>
      <c r="AZ406" s="79"/>
      <c r="BA406" s="79"/>
      <c r="BB406" s="11"/>
      <c r="BC406" s="11"/>
      <c r="BD406" s="11"/>
      <c r="BE406" s="73"/>
      <c r="BF406" s="73"/>
      <c r="BG406" s="73"/>
      <c r="BH406" s="77"/>
      <c r="BI406" s="77"/>
      <c r="BJ406" s="77"/>
      <c r="BK406" s="77"/>
      <c r="BL406" s="77"/>
      <c r="BM406" s="77"/>
      <c r="BN406" s="158"/>
      <c r="BO406" s="158"/>
    </row>
    <row r="407" spans="1:67" ht="15" x14ac:dyDescent="0.25">
      <c r="A407" s="71"/>
      <c r="B407" s="11"/>
      <c r="C407" s="11"/>
      <c r="D407" s="11"/>
      <c r="E407" s="11"/>
      <c r="F407" s="11"/>
      <c r="G407" s="11"/>
      <c r="H407" s="11"/>
      <c r="I407" s="11"/>
      <c r="J407" s="249"/>
      <c r="K407" s="72"/>
      <c r="L407" s="73"/>
      <c r="M407" s="73"/>
      <c r="N407" s="74"/>
      <c r="O407" s="75"/>
      <c r="P407" s="73"/>
      <c r="Q407" s="76"/>
      <c r="R407" s="76"/>
      <c r="S407" s="76"/>
      <c r="T407" s="76"/>
      <c r="U407" s="76"/>
      <c r="V407" s="76"/>
      <c r="W407" s="76"/>
      <c r="X407" s="76"/>
      <c r="Y407" s="76"/>
      <c r="Z407" s="77"/>
      <c r="AA407" s="77"/>
      <c r="AB407" s="77"/>
      <c r="AC407" s="77"/>
      <c r="AD407" s="77"/>
      <c r="AE407" s="77"/>
      <c r="AF407" s="77"/>
      <c r="AG407" s="77"/>
      <c r="AH407" s="78"/>
      <c r="AI407" s="78"/>
      <c r="AJ407" s="78"/>
      <c r="AK407" s="78"/>
      <c r="AL407" s="78"/>
      <c r="AM407" s="78"/>
      <c r="AN407" s="76"/>
      <c r="AO407" s="76"/>
      <c r="AP407" s="76"/>
      <c r="AQ407" s="76"/>
      <c r="AR407" s="76"/>
      <c r="AS407" s="76"/>
      <c r="AT407" s="76"/>
      <c r="AU407" s="76"/>
      <c r="AV407" s="76"/>
      <c r="AW407" s="79"/>
      <c r="AX407" s="79"/>
      <c r="AY407" s="79"/>
      <c r="AZ407" s="79"/>
      <c r="BA407" s="79"/>
      <c r="BB407" s="11"/>
      <c r="BC407" s="11"/>
      <c r="BD407" s="11"/>
      <c r="BE407" s="73"/>
      <c r="BF407" s="73"/>
      <c r="BG407" s="73"/>
      <c r="BH407" s="77"/>
      <c r="BI407" s="77"/>
      <c r="BJ407" s="77"/>
      <c r="BK407" s="77"/>
      <c r="BL407" s="77"/>
      <c r="BM407" s="77"/>
      <c r="BN407" s="158"/>
      <c r="BO407" s="158"/>
    </row>
    <row r="408" spans="1:67" ht="15" x14ac:dyDescent="0.25">
      <c r="A408" s="71"/>
      <c r="B408" s="11"/>
      <c r="C408" s="11"/>
      <c r="D408" s="11"/>
      <c r="E408" s="11"/>
      <c r="F408" s="11"/>
      <c r="G408" s="11"/>
      <c r="H408" s="11"/>
      <c r="I408" s="11"/>
      <c r="J408" s="249"/>
      <c r="K408" s="72"/>
      <c r="L408" s="73"/>
      <c r="M408" s="73"/>
      <c r="N408" s="74"/>
      <c r="O408" s="75"/>
      <c r="P408" s="73"/>
      <c r="Q408" s="76"/>
      <c r="R408" s="76"/>
      <c r="S408" s="76"/>
      <c r="T408" s="76"/>
      <c r="U408" s="76"/>
      <c r="V408" s="76"/>
      <c r="W408" s="76"/>
      <c r="X408" s="76"/>
      <c r="Y408" s="76"/>
      <c r="Z408" s="77"/>
      <c r="AA408" s="77"/>
      <c r="AB408" s="77"/>
      <c r="AC408" s="77"/>
      <c r="AD408" s="77"/>
      <c r="AE408" s="77"/>
      <c r="AF408" s="77"/>
      <c r="AG408" s="77"/>
      <c r="AH408" s="78"/>
      <c r="AI408" s="78"/>
      <c r="AJ408" s="78"/>
      <c r="AK408" s="78"/>
      <c r="AL408" s="78"/>
      <c r="AM408" s="78"/>
      <c r="AN408" s="76"/>
      <c r="AO408" s="76"/>
      <c r="AP408" s="76"/>
      <c r="AQ408" s="76"/>
      <c r="AR408" s="76"/>
      <c r="AS408" s="76"/>
      <c r="AT408" s="76"/>
      <c r="AU408" s="76"/>
      <c r="AV408" s="76"/>
      <c r="AW408" s="79"/>
      <c r="AX408" s="79"/>
      <c r="AY408" s="79"/>
      <c r="AZ408" s="79"/>
      <c r="BA408" s="79"/>
      <c r="BB408" s="11"/>
      <c r="BC408" s="11"/>
      <c r="BD408" s="11"/>
      <c r="BE408" s="73"/>
      <c r="BF408" s="73"/>
      <c r="BG408" s="73"/>
      <c r="BH408" s="77"/>
      <c r="BI408" s="77"/>
      <c r="BJ408" s="77"/>
      <c r="BK408" s="77"/>
      <c r="BL408" s="77"/>
      <c r="BM408" s="77"/>
      <c r="BN408" s="158"/>
      <c r="BO408" s="158"/>
    </row>
    <row r="409" spans="1:67" ht="15" x14ac:dyDescent="0.25">
      <c r="A409" s="71"/>
      <c r="B409" s="11"/>
      <c r="C409" s="11"/>
      <c r="D409" s="11"/>
      <c r="E409" s="11"/>
      <c r="F409" s="11"/>
      <c r="G409" s="11"/>
      <c r="H409" s="11"/>
      <c r="I409" s="11"/>
      <c r="J409" s="249"/>
      <c r="K409" s="72"/>
      <c r="L409" s="73"/>
      <c r="M409" s="73"/>
      <c r="N409" s="74"/>
      <c r="O409" s="75"/>
      <c r="P409" s="73"/>
      <c r="Q409" s="76"/>
      <c r="R409" s="76"/>
      <c r="S409" s="76"/>
      <c r="T409" s="76"/>
      <c r="U409" s="76"/>
      <c r="V409" s="76"/>
      <c r="W409" s="76"/>
      <c r="X409" s="76"/>
      <c r="Y409" s="76"/>
      <c r="Z409" s="77"/>
      <c r="AA409" s="77"/>
      <c r="AB409" s="77"/>
      <c r="AC409" s="77"/>
      <c r="AD409" s="77"/>
      <c r="AE409" s="77"/>
      <c r="AF409" s="77"/>
      <c r="AG409" s="77"/>
      <c r="AH409" s="78"/>
      <c r="AI409" s="78"/>
      <c r="AJ409" s="78"/>
      <c r="AK409" s="78"/>
      <c r="AL409" s="78"/>
      <c r="AM409" s="78"/>
      <c r="AN409" s="76"/>
      <c r="AO409" s="76"/>
      <c r="AP409" s="76"/>
      <c r="AQ409" s="76"/>
      <c r="AR409" s="76"/>
      <c r="AS409" s="76"/>
      <c r="AT409" s="76"/>
      <c r="AU409" s="76"/>
      <c r="AV409" s="76"/>
      <c r="AW409" s="79"/>
      <c r="AX409" s="79"/>
      <c r="AY409" s="79"/>
      <c r="AZ409" s="79"/>
      <c r="BA409" s="79"/>
      <c r="BB409" s="11"/>
      <c r="BC409" s="11"/>
      <c r="BD409" s="11"/>
      <c r="BE409" s="73"/>
      <c r="BF409" s="73"/>
      <c r="BG409" s="73"/>
      <c r="BH409" s="77"/>
      <c r="BI409" s="77"/>
      <c r="BJ409" s="77"/>
      <c r="BK409" s="77"/>
      <c r="BL409" s="77"/>
      <c r="BM409" s="77"/>
      <c r="BN409" s="158"/>
      <c r="BO409" s="158"/>
    </row>
    <row r="410" spans="1:67" ht="15" x14ac:dyDescent="0.25">
      <c r="A410" s="71"/>
      <c r="B410" s="11"/>
      <c r="C410" s="11"/>
      <c r="D410" s="11"/>
      <c r="E410" s="11"/>
      <c r="F410" s="11"/>
      <c r="G410" s="11"/>
      <c r="H410" s="11"/>
      <c r="I410" s="11"/>
      <c r="J410" s="249"/>
      <c r="K410" s="72"/>
      <c r="L410" s="73"/>
      <c r="M410" s="73"/>
      <c r="N410" s="74"/>
      <c r="O410" s="75"/>
      <c r="P410" s="73"/>
      <c r="Q410" s="76"/>
      <c r="R410" s="76"/>
      <c r="S410" s="76"/>
      <c r="T410" s="76"/>
      <c r="U410" s="76"/>
      <c r="V410" s="76"/>
      <c r="W410" s="76"/>
      <c r="X410" s="76"/>
      <c r="Y410" s="76"/>
      <c r="Z410" s="77"/>
      <c r="AA410" s="77"/>
      <c r="AB410" s="77"/>
      <c r="AC410" s="77"/>
      <c r="AD410" s="77"/>
      <c r="AE410" s="77"/>
      <c r="AF410" s="77"/>
      <c r="AG410" s="77"/>
      <c r="AH410" s="78"/>
      <c r="AI410" s="78"/>
      <c r="AJ410" s="78"/>
      <c r="AK410" s="78"/>
      <c r="AL410" s="78"/>
      <c r="AM410" s="78"/>
      <c r="AN410" s="76"/>
      <c r="AO410" s="76"/>
      <c r="AP410" s="76"/>
      <c r="AQ410" s="76"/>
      <c r="AR410" s="76"/>
      <c r="AS410" s="76"/>
      <c r="AT410" s="76"/>
      <c r="AU410" s="76"/>
      <c r="AV410" s="76"/>
      <c r="AW410" s="79"/>
      <c r="AX410" s="79"/>
      <c r="AY410" s="79"/>
      <c r="AZ410" s="79"/>
      <c r="BA410" s="79"/>
      <c r="BB410" s="11"/>
      <c r="BC410" s="11"/>
      <c r="BD410" s="11"/>
      <c r="BE410" s="73"/>
      <c r="BF410" s="73"/>
      <c r="BG410" s="73"/>
      <c r="BH410" s="77"/>
      <c r="BI410" s="77"/>
      <c r="BJ410" s="77"/>
      <c r="BK410" s="77"/>
      <c r="BL410" s="77"/>
      <c r="BM410" s="77"/>
      <c r="BN410" s="158"/>
      <c r="BO410" s="158"/>
    </row>
    <row r="411" spans="1:67" ht="15" x14ac:dyDescent="0.25">
      <c r="A411" s="71"/>
      <c r="B411" s="11"/>
      <c r="C411" s="11"/>
      <c r="D411" s="11"/>
      <c r="E411" s="11"/>
      <c r="F411" s="11"/>
      <c r="G411" s="11"/>
      <c r="H411" s="11"/>
      <c r="I411" s="11"/>
      <c r="J411" s="249"/>
      <c r="K411" s="72"/>
      <c r="L411" s="73"/>
      <c r="M411" s="73"/>
      <c r="N411" s="74"/>
      <c r="O411" s="75"/>
      <c r="P411" s="73"/>
      <c r="Q411" s="76"/>
      <c r="R411" s="76"/>
      <c r="S411" s="76"/>
      <c r="T411" s="76"/>
      <c r="U411" s="76"/>
      <c r="V411" s="76"/>
      <c r="W411" s="76"/>
      <c r="X411" s="76"/>
      <c r="Y411" s="76"/>
      <c r="Z411" s="77"/>
      <c r="AA411" s="77"/>
      <c r="AB411" s="77"/>
      <c r="AC411" s="77"/>
      <c r="AD411" s="77"/>
      <c r="AE411" s="77"/>
      <c r="AF411" s="77"/>
      <c r="AG411" s="77"/>
      <c r="AH411" s="78"/>
      <c r="AI411" s="78"/>
      <c r="AJ411" s="78"/>
      <c r="AK411" s="78"/>
      <c r="AL411" s="78"/>
      <c r="AM411" s="78"/>
      <c r="AN411" s="76"/>
      <c r="AO411" s="76"/>
      <c r="AP411" s="76"/>
      <c r="AQ411" s="76"/>
      <c r="AR411" s="76"/>
      <c r="AS411" s="76"/>
      <c r="AT411" s="76"/>
      <c r="AU411" s="76"/>
      <c r="AV411" s="76"/>
      <c r="AW411" s="79"/>
      <c r="AX411" s="79"/>
      <c r="AY411" s="79"/>
      <c r="AZ411" s="79"/>
      <c r="BA411" s="79"/>
      <c r="BB411" s="11"/>
      <c r="BC411" s="11"/>
      <c r="BD411" s="11"/>
      <c r="BE411" s="73"/>
      <c r="BF411" s="73"/>
      <c r="BG411" s="73"/>
      <c r="BH411" s="77"/>
      <c r="BI411" s="77"/>
      <c r="BJ411" s="77"/>
      <c r="BK411" s="77"/>
      <c r="BL411" s="77"/>
      <c r="BM411" s="77"/>
      <c r="BN411" s="158"/>
      <c r="BO411" s="158"/>
    </row>
    <row r="412" spans="1:67" ht="15" x14ac:dyDescent="0.25">
      <c r="A412" s="71"/>
      <c r="B412" s="11"/>
      <c r="C412" s="11"/>
      <c r="D412" s="11"/>
      <c r="E412" s="11"/>
      <c r="F412" s="11"/>
      <c r="G412" s="11"/>
      <c r="H412" s="11"/>
      <c r="I412" s="11"/>
      <c r="J412" s="249"/>
      <c r="K412" s="72"/>
      <c r="L412" s="73"/>
      <c r="M412" s="73"/>
      <c r="N412" s="74"/>
      <c r="O412" s="75"/>
      <c r="P412" s="73"/>
      <c r="Q412" s="76"/>
      <c r="R412" s="76"/>
      <c r="S412" s="76"/>
      <c r="T412" s="76"/>
      <c r="U412" s="76"/>
      <c r="V412" s="76"/>
      <c r="W412" s="76"/>
      <c r="X412" s="76"/>
      <c r="Y412" s="76"/>
      <c r="Z412" s="77"/>
      <c r="AA412" s="77"/>
      <c r="AB412" s="77"/>
      <c r="AC412" s="77"/>
      <c r="AD412" s="77"/>
      <c r="AE412" s="77"/>
      <c r="AF412" s="77"/>
      <c r="AG412" s="77"/>
      <c r="AH412" s="78"/>
      <c r="AI412" s="78"/>
      <c r="AJ412" s="78"/>
      <c r="AK412" s="78"/>
      <c r="AL412" s="78"/>
      <c r="AM412" s="78"/>
      <c r="AN412" s="76"/>
      <c r="AO412" s="76"/>
      <c r="AP412" s="76"/>
      <c r="AQ412" s="76"/>
      <c r="AR412" s="76"/>
      <c r="AS412" s="76"/>
      <c r="AT412" s="76"/>
      <c r="AU412" s="76"/>
      <c r="AV412" s="76"/>
      <c r="AW412" s="79"/>
      <c r="AX412" s="79"/>
      <c r="AY412" s="79"/>
      <c r="AZ412" s="79"/>
      <c r="BA412" s="79"/>
      <c r="BB412" s="11"/>
      <c r="BC412" s="11"/>
      <c r="BD412" s="11"/>
      <c r="BE412" s="73"/>
      <c r="BF412" s="73"/>
      <c r="BG412" s="73"/>
      <c r="BH412" s="77"/>
      <c r="BI412" s="77"/>
      <c r="BJ412" s="77"/>
      <c r="BK412" s="77"/>
      <c r="BL412" s="77"/>
      <c r="BM412" s="77"/>
      <c r="BN412" s="158"/>
      <c r="BO412" s="158"/>
    </row>
    <row r="413" spans="1:67" ht="15" x14ac:dyDescent="0.25">
      <c r="A413" s="71"/>
      <c r="B413" s="11"/>
      <c r="C413" s="11"/>
      <c r="D413" s="11"/>
      <c r="E413" s="11"/>
      <c r="F413" s="11"/>
      <c r="G413" s="11"/>
      <c r="H413" s="11"/>
      <c r="I413" s="11"/>
      <c r="J413" s="249"/>
      <c r="K413" s="72"/>
      <c r="L413" s="73"/>
      <c r="M413" s="73"/>
      <c r="N413" s="74"/>
      <c r="O413" s="75"/>
      <c r="P413" s="73"/>
      <c r="Q413" s="76"/>
      <c r="R413" s="76"/>
      <c r="S413" s="76"/>
      <c r="T413" s="76"/>
      <c r="U413" s="76"/>
      <c r="V413" s="76"/>
      <c r="W413" s="76"/>
      <c r="X413" s="76"/>
      <c r="Y413" s="76"/>
      <c r="Z413" s="77"/>
      <c r="AA413" s="77"/>
      <c r="AB413" s="77"/>
      <c r="AC413" s="77"/>
      <c r="AD413" s="77"/>
      <c r="AE413" s="77"/>
      <c r="AF413" s="77"/>
      <c r="AG413" s="77"/>
      <c r="AH413" s="78"/>
      <c r="AI413" s="78"/>
      <c r="AJ413" s="78"/>
      <c r="AK413" s="78"/>
      <c r="AL413" s="78"/>
      <c r="AM413" s="78"/>
      <c r="AN413" s="76"/>
      <c r="AO413" s="76"/>
      <c r="AP413" s="76"/>
      <c r="AQ413" s="76"/>
      <c r="AR413" s="76"/>
      <c r="AS413" s="76"/>
      <c r="AT413" s="76"/>
      <c r="AU413" s="76"/>
      <c r="AV413" s="76"/>
      <c r="AW413" s="79"/>
      <c r="AX413" s="79"/>
      <c r="AY413" s="79"/>
      <c r="AZ413" s="79"/>
      <c r="BA413" s="79"/>
      <c r="BB413" s="11"/>
      <c r="BC413" s="11"/>
      <c r="BD413" s="11"/>
      <c r="BE413" s="73"/>
      <c r="BF413" s="73"/>
      <c r="BG413" s="73"/>
      <c r="BH413" s="77"/>
      <c r="BI413" s="77"/>
      <c r="BJ413" s="77"/>
      <c r="BK413" s="77"/>
      <c r="BL413" s="77"/>
      <c r="BM413" s="77"/>
      <c r="BN413" s="158"/>
      <c r="BO413" s="158"/>
    </row>
    <row r="414" spans="1:67" ht="15" x14ac:dyDescent="0.25">
      <c r="A414" s="71"/>
      <c r="B414" s="11"/>
      <c r="C414" s="11"/>
      <c r="D414" s="11"/>
      <c r="E414" s="11"/>
      <c r="F414" s="11"/>
      <c r="G414" s="11"/>
      <c r="H414" s="11"/>
      <c r="I414" s="11"/>
      <c r="J414" s="249"/>
      <c r="K414" s="72"/>
      <c r="L414" s="73"/>
      <c r="M414" s="73"/>
      <c r="N414" s="74"/>
      <c r="O414" s="75"/>
      <c r="P414" s="73"/>
      <c r="Q414" s="76"/>
      <c r="R414" s="76"/>
      <c r="S414" s="76"/>
      <c r="T414" s="76"/>
      <c r="U414" s="76"/>
      <c r="V414" s="76"/>
      <c r="W414" s="76"/>
      <c r="X414" s="76"/>
      <c r="Y414" s="76"/>
      <c r="Z414" s="77"/>
      <c r="AA414" s="77"/>
      <c r="AB414" s="77"/>
      <c r="AC414" s="77"/>
      <c r="AD414" s="77"/>
      <c r="AE414" s="77"/>
      <c r="AF414" s="77"/>
      <c r="AG414" s="77"/>
      <c r="AH414" s="78"/>
      <c r="AI414" s="78"/>
      <c r="AJ414" s="78"/>
      <c r="AK414" s="78"/>
      <c r="AL414" s="78"/>
      <c r="AM414" s="78"/>
      <c r="AN414" s="76"/>
      <c r="AO414" s="76"/>
      <c r="AP414" s="76"/>
      <c r="AQ414" s="76"/>
      <c r="AR414" s="76"/>
      <c r="AS414" s="76"/>
      <c r="AT414" s="76"/>
      <c r="AU414" s="76"/>
      <c r="AV414" s="76"/>
      <c r="AW414" s="79"/>
      <c r="AX414" s="79"/>
      <c r="AY414" s="79"/>
      <c r="AZ414" s="79"/>
      <c r="BA414" s="79"/>
      <c r="BB414" s="11"/>
      <c r="BC414" s="11"/>
      <c r="BD414" s="11"/>
      <c r="BE414" s="73"/>
      <c r="BF414" s="73"/>
      <c r="BG414" s="73"/>
      <c r="BH414" s="77"/>
      <c r="BI414" s="77"/>
      <c r="BJ414" s="77"/>
      <c r="BK414" s="77"/>
      <c r="BL414" s="77"/>
      <c r="BM414" s="77"/>
      <c r="BN414" s="158"/>
      <c r="BO414" s="158"/>
    </row>
    <row r="415" spans="1:67" ht="15" x14ac:dyDescent="0.25">
      <c r="A415" s="71"/>
      <c r="B415" s="11"/>
      <c r="C415" s="11"/>
      <c r="D415" s="11"/>
      <c r="E415" s="11"/>
      <c r="F415" s="11"/>
      <c r="G415" s="11"/>
      <c r="H415" s="11"/>
      <c r="I415" s="11"/>
      <c r="J415" s="249"/>
      <c r="K415" s="72"/>
      <c r="L415" s="73"/>
      <c r="M415" s="73"/>
      <c r="N415" s="74"/>
      <c r="O415" s="75"/>
      <c r="P415" s="73"/>
      <c r="Q415" s="76"/>
      <c r="R415" s="76"/>
      <c r="S415" s="76"/>
      <c r="T415" s="76"/>
      <c r="U415" s="76"/>
      <c r="V415" s="76"/>
      <c r="W415" s="76"/>
      <c r="X415" s="76"/>
      <c r="Y415" s="76"/>
      <c r="Z415" s="77"/>
      <c r="AA415" s="77"/>
      <c r="AB415" s="77"/>
      <c r="AC415" s="77"/>
      <c r="AD415" s="77"/>
      <c r="AE415" s="77"/>
      <c r="AF415" s="77"/>
      <c r="AG415" s="77"/>
      <c r="AH415" s="78"/>
      <c r="AI415" s="78"/>
      <c r="AJ415" s="78"/>
      <c r="AK415" s="78"/>
      <c r="AL415" s="78"/>
      <c r="AM415" s="78"/>
      <c r="AN415" s="76"/>
      <c r="AO415" s="76"/>
      <c r="AP415" s="76"/>
      <c r="AQ415" s="76"/>
      <c r="AR415" s="76"/>
      <c r="AS415" s="76"/>
      <c r="AT415" s="76"/>
      <c r="AU415" s="76"/>
      <c r="AV415" s="76"/>
      <c r="AW415" s="79"/>
      <c r="AX415" s="79"/>
      <c r="AY415" s="79"/>
      <c r="AZ415" s="79"/>
      <c r="BA415" s="79"/>
      <c r="BB415" s="11"/>
      <c r="BC415" s="11"/>
      <c r="BD415" s="11"/>
      <c r="BE415" s="73"/>
      <c r="BF415" s="73"/>
      <c r="BG415" s="73"/>
      <c r="BH415" s="77"/>
      <c r="BI415" s="77"/>
      <c r="BJ415" s="77"/>
      <c r="BK415" s="77"/>
      <c r="BL415" s="77"/>
      <c r="BM415" s="77"/>
      <c r="BN415" s="158"/>
      <c r="BO415" s="158"/>
    </row>
    <row r="416" spans="1:67" ht="15" x14ac:dyDescent="0.25">
      <c r="A416" s="71"/>
      <c r="B416" s="11"/>
      <c r="C416" s="11"/>
      <c r="D416" s="11"/>
      <c r="E416" s="11"/>
      <c r="F416" s="11"/>
      <c r="G416" s="11"/>
      <c r="H416" s="11"/>
      <c r="I416" s="11"/>
      <c r="J416" s="249"/>
      <c r="K416" s="72"/>
      <c r="L416" s="73"/>
      <c r="M416" s="73"/>
      <c r="N416" s="74"/>
      <c r="O416" s="75"/>
      <c r="P416" s="73"/>
      <c r="Q416" s="76"/>
      <c r="R416" s="76"/>
      <c r="S416" s="76"/>
      <c r="T416" s="76"/>
      <c r="U416" s="76"/>
      <c r="V416" s="76"/>
      <c r="W416" s="76"/>
      <c r="X416" s="76"/>
      <c r="Y416" s="76"/>
      <c r="Z416" s="77"/>
      <c r="AA416" s="77"/>
      <c r="AB416" s="77"/>
      <c r="AC416" s="77"/>
      <c r="AD416" s="77"/>
      <c r="AE416" s="77"/>
      <c r="AF416" s="77"/>
      <c r="AG416" s="77"/>
      <c r="AH416" s="78"/>
      <c r="AI416" s="78"/>
      <c r="AJ416" s="78"/>
      <c r="AK416" s="78"/>
      <c r="AL416" s="78"/>
      <c r="AM416" s="78"/>
      <c r="AN416" s="76"/>
      <c r="AO416" s="76"/>
      <c r="AP416" s="76"/>
      <c r="AQ416" s="76"/>
      <c r="AR416" s="76"/>
      <c r="AS416" s="76"/>
      <c r="AT416" s="76"/>
      <c r="AU416" s="76"/>
      <c r="AV416" s="76"/>
      <c r="AW416" s="79"/>
      <c r="AX416" s="79"/>
      <c r="AY416" s="79"/>
      <c r="AZ416" s="79"/>
      <c r="BA416" s="79"/>
      <c r="BB416" s="11"/>
      <c r="BC416" s="11"/>
      <c r="BD416" s="11"/>
      <c r="BE416" s="73"/>
      <c r="BF416" s="73"/>
      <c r="BG416" s="73"/>
      <c r="BH416" s="77"/>
      <c r="BI416" s="77"/>
      <c r="BJ416" s="77"/>
      <c r="BK416" s="77"/>
      <c r="BL416" s="77"/>
      <c r="BM416" s="77"/>
      <c r="BN416" s="158"/>
      <c r="BO416" s="158"/>
    </row>
    <row r="417" spans="1:67" ht="15" x14ac:dyDescent="0.25">
      <c r="A417" s="71"/>
      <c r="B417" s="11"/>
      <c r="C417" s="11"/>
      <c r="D417" s="11"/>
      <c r="E417" s="11"/>
      <c r="F417" s="11"/>
      <c r="G417" s="11"/>
      <c r="H417" s="11"/>
      <c r="I417" s="11"/>
      <c r="J417" s="249"/>
      <c r="K417" s="72"/>
      <c r="L417" s="73"/>
      <c r="M417" s="73"/>
      <c r="N417" s="74"/>
      <c r="O417" s="75"/>
      <c r="P417" s="73"/>
      <c r="Q417" s="76"/>
      <c r="R417" s="76"/>
      <c r="S417" s="76"/>
      <c r="T417" s="76"/>
      <c r="U417" s="76"/>
      <c r="V417" s="76"/>
      <c r="W417" s="76"/>
      <c r="X417" s="76"/>
      <c r="Y417" s="76"/>
      <c r="Z417" s="77"/>
      <c r="AA417" s="77"/>
      <c r="AB417" s="77"/>
      <c r="AC417" s="77"/>
      <c r="AD417" s="77"/>
      <c r="AE417" s="77"/>
      <c r="AF417" s="77"/>
      <c r="AG417" s="77"/>
      <c r="AH417" s="78"/>
      <c r="AI417" s="78"/>
      <c r="AJ417" s="78"/>
      <c r="AK417" s="78"/>
      <c r="AL417" s="78"/>
      <c r="AM417" s="78"/>
      <c r="AN417" s="76"/>
      <c r="AO417" s="76"/>
      <c r="AP417" s="76"/>
      <c r="AQ417" s="76"/>
      <c r="AR417" s="76"/>
      <c r="AS417" s="76"/>
      <c r="AT417" s="76"/>
      <c r="AU417" s="76"/>
      <c r="AV417" s="76"/>
      <c r="AW417" s="79"/>
      <c r="AX417" s="79"/>
      <c r="AY417" s="79"/>
      <c r="AZ417" s="79"/>
      <c r="BA417" s="79"/>
      <c r="BB417" s="11"/>
      <c r="BC417" s="11"/>
      <c r="BD417" s="11"/>
      <c r="BE417" s="73"/>
      <c r="BF417" s="73"/>
      <c r="BG417" s="73"/>
      <c r="BH417" s="77"/>
      <c r="BI417" s="77"/>
      <c r="BJ417" s="77"/>
      <c r="BK417" s="77"/>
      <c r="BL417" s="77"/>
      <c r="BM417" s="77"/>
      <c r="BN417" s="158"/>
      <c r="BO417" s="158"/>
    </row>
    <row r="418" spans="1:67" ht="15" x14ac:dyDescent="0.25">
      <c r="A418" s="71"/>
      <c r="B418" s="11"/>
      <c r="C418" s="11"/>
      <c r="D418" s="11"/>
      <c r="E418" s="11"/>
      <c r="F418" s="11"/>
      <c r="G418" s="11"/>
      <c r="H418" s="11"/>
      <c r="I418" s="11"/>
      <c r="J418" s="249"/>
      <c r="K418" s="72"/>
      <c r="L418" s="73"/>
      <c r="M418" s="73"/>
      <c r="N418" s="74"/>
      <c r="O418" s="75"/>
      <c r="P418" s="73"/>
      <c r="Q418" s="76"/>
      <c r="R418" s="76"/>
      <c r="S418" s="76"/>
      <c r="T418" s="76"/>
      <c r="U418" s="76"/>
      <c r="V418" s="76"/>
      <c r="W418" s="76"/>
      <c r="X418" s="76"/>
      <c r="Y418" s="76"/>
      <c r="Z418" s="77"/>
      <c r="AA418" s="77"/>
      <c r="AB418" s="77"/>
      <c r="AC418" s="77"/>
      <c r="AD418" s="77"/>
      <c r="AE418" s="77"/>
      <c r="AF418" s="77"/>
      <c r="AG418" s="77"/>
      <c r="AH418" s="78"/>
      <c r="AI418" s="78"/>
      <c r="AJ418" s="78"/>
      <c r="AK418" s="78"/>
      <c r="AL418" s="78"/>
      <c r="AM418" s="78"/>
      <c r="AN418" s="76"/>
      <c r="AO418" s="76"/>
      <c r="AP418" s="76"/>
      <c r="AQ418" s="76"/>
      <c r="AR418" s="76"/>
      <c r="AS418" s="76"/>
      <c r="AT418" s="76"/>
      <c r="AU418" s="76"/>
      <c r="AV418" s="76"/>
      <c r="AW418" s="79"/>
      <c r="AX418" s="79"/>
      <c r="AY418" s="79"/>
      <c r="AZ418" s="79"/>
      <c r="BA418" s="79"/>
      <c r="BB418" s="11"/>
      <c r="BC418" s="11"/>
      <c r="BD418" s="11"/>
      <c r="BE418" s="73"/>
      <c r="BF418" s="73"/>
      <c r="BG418" s="73"/>
      <c r="BH418" s="77"/>
      <c r="BI418" s="77"/>
      <c r="BJ418" s="77"/>
      <c r="BK418" s="77"/>
      <c r="BL418" s="77"/>
      <c r="BM418" s="77"/>
      <c r="BN418" s="158"/>
      <c r="BO418" s="158"/>
    </row>
    <row r="419" spans="1:67" ht="15" x14ac:dyDescent="0.25">
      <c r="A419" s="71"/>
      <c r="B419" s="11"/>
      <c r="C419" s="11"/>
      <c r="D419" s="11"/>
      <c r="E419" s="11"/>
      <c r="F419" s="11"/>
      <c r="G419" s="11"/>
      <c r="H419" s="11"/>
      <c r="I419" s="11"/>
      <c r="J419" s="249"/>
      <c r="K419" s="72"/>
      <c r="L419" s="73"/>
      <c r="M419" s="73"/>
      <c r="N419" s="74"/>
      <c r="O419" s="75"/>
      <c r="P419" s="73"/>
      <c r="Q419" s="76"/>
      <c r="R419" s="76"/>
      <c r="S419" s="76"/>
      <c r="T419" s="76"/>
      <c r="U419" s="76"/>
      <c r="V419" s="76"/>
      <c r="W419" s="76"/>
      <c r="X419" s="76"/>
      <c r="Y419" s="76"/>
      <c r="Z419" s="77"/>
      <c r="AA419" s="77"/>
      <c r="AB419" s="77"/>
      <c r="AC419" s="77"/>
      <c r="AD419" s="77"/>
      <c r="AE419" s="77"/>
      <c r="AF419" s="77"/>
      <c r="AG419" s="77"/>
      <c r="AH419" s="78"/>
      <c r="AI419" s="78"/>
      <c r="AJ419" s="78"/>
      <c r="AK419" s="78"/>
      <c r="AL419" s="78"/>
      <c r="AM419" s="78"/>
      <c r="AN419" s="76"/>
      <c r="AO419" s="76"/>
      <c r="AP419" s="76"/>
      <c r="AQ419" s="76"/>
      <c r="AR419" s="76"/>
      <c r="AS419" s="76"/>
      <c r="AT419" s="76"/>
      <c r="AU419" s="76"/>
      <c r="AV419" s="76"/>
      <c r="AW419" s="79"/>
      <c r="AX419" s="79"/>
      <c r="AY419" s="79"/>
      <c r="AZ419" s="79"/>
      <c r="BA419" s="79"/>
      <c r="BB419" s="11"/>
      <c r="BC419" s="11"/>
      <c r="BD419" s="11"/>
      <c r="BE419" s="73"/>
      <c r="BF419" s="73"/>
      <c r="BG419" s="73"/>
      <c r="BH419" s="77"/>
      <c r="BI419" s="77"/>
      <c r="BJ419" s="77"/>
      <c r="BK419" s="77"/>
      <c r="BL419" s="77"/>
      <c r="BM419" s="77"/>
      <c r="BN419" s="158"/>
      <c r="BO419" s="158"/>
    </row>
    <row r="420" spans="1:67" ht="15" x14ac:dyDescent="0.25">
      <c r="A420" s="71"/>
      <c r="B420" s="11"/>
      <c r="C420" s="11"/>
      <c r="D420" s="11"/>
      <c r="E420" s="11"/>
      <c r="F420" s="11"/>
      <c r="G420" s="11"/>
      <c r="H420" s="11"/>
      <c r="I420" s="11"/>
      <c r="J420" s="249"/>
      <c r="K420" s="72"/>
      <c r="L420" s="73"/>
      <c r="M420" s="73"/>
      <c r="N420" s="74"/>
      <c r="O420" s="75"/>
      <c r="P420" s="73"/>
      <c r="Q420" s="76"/>
      <c r="R420" s="76"/>
      <c r="S420" s="76"/>
      <c r="T420" s="76"/>
      <c r="U420" s="76"/>
      <c r="V420" s="76"/>
      <c r="W420" s="76"/>
      <c r="X420" s="76"/>
      <c r="Y420" s="76"/>
      <c r="Z420" s="77"/>
      <c r="AA420" s="77"/>
      <c r="AB420" s="77"/>
      <c r="AC420" s="77"/>
      <c r="AD420" s="77"/>
      <c r="AE420" s="77"/>
      <c r="AF420" s="77"/>
      <c r="AG420" s="77"/>
      <c r="AH420" s="78"/>
      <c r="AI420" s="78"/>
      <c r="AJ420" s="78"/>
      <c r="AK420" s="78"/>
      <c r="AL420" s="78"/>
      <c r="AM420" s="78"/>
      <c r="AN420" s="76"/>
      <c r="AO420" s="76"/>
      <c r="AP420" s="76"/>
      <c r="AQ420" s="76"/>
      <c r="AR420" s="76"/>
      <c r="AS420" s="76"/>
      <c r="AT420" s="76"/>
      <c r="AU420" s="76"/>
      <c r="AV420" s="76"/>
      <c r="AW420" s="79"/>
      <c r="AX420" s="79"/>
      <c r="AY420" s="79"/>
      <c r="AZ420" s="79"/>
      <c r="BA420" s="79"/>
      <c r="BB420" s="11"/>
      <c r="BC420" s="11"/>
      <c r="BD420" s="11"/>
      <c r="BE420" s="73"/>
      <c r="BF420" s="73"/>
      <c r="BG420" s="73"/>
      <c r="BH420" s="77"/>
      <c r="BI420" s="77"/>
      <c r="BJ420" s="77"/>
      <c r="BK420" s="77"/>
      <c r="BL420" s="77"/>
      <c r="BM420" s="77"/>
      <c r="BN420" s="158"/>
      <c r="BO420" s="158"/>
    </row>
    <row r="421" spans="1:67" ht="15" x14ac:dyDescent="0.25">
      <c r="A421" s="71"/>
      <c r="B421" s="11"/>
      <c r="C421" s="11"/>
      <c r="D421" s="11"/>
      <c r="E421" s="11"/>
      <c r="F421" s="11"/>
      <c r="G421" s="11"/>
      <c r="H421" s="11"/>
      <c r="I421" s="11"/>
      <c r="J421" s="249"/>
      <c r="K421" s="72"/>
      <c r="L421" s="73"/>
      <c r="M421" s="73"/>
      <c r="N421" s="74"/>
      <c r="O421" s="75"/>
      <c r="P421" s="73"/>
      <c r="Q421" s="76"/>
      <c r="R421" s="76"/>
      <c r="S421" s="76"/>
      <c r="T421" s="76"/>
      <c r="U421" s="76"/>
      <c r="V421" s="76"/>
      <c r="W421" s="76"/>
      <c r="X421" s="76"/>
      <c r="Y421" s="76"/>
      <c r="Z421" s="77"/>
      <c r="AA421" s="77"/>
      <c r="AB421" s="77"/>
      <c r="AC421" s="77"/>
      <c r="AD421" s="77"/>
      <c r="AE421" s="77"/>
      <c r="AF421" s="77"/>
      <c r="AG421" s="77"/>
      <c r="AH421" s="78"/>
      <c r="AI421" s="78"/>
      <c r="AJ421" s="78"/>
      <c r="AK421" s="78"/>
      <c r="AL421" s="78"/>
      <c r="AM421" s="78"/>
      <c r="AN421" s="76"/>
      <c r="AO421" s="76"/>
      <c r="AP421" s="76"/>
      <c r="AQ421" s="76"/>
      <c r="AR421" s="76"/>
      <c r="AS421" s="76"/>
      <c r="AT421" s="76"/>
      <c r="AU421" s="76"/>
      <c r="AV421" s="76"/>
      <c r="AW421" s="79"/>
      <c r="AX421" s="79"/>
      <c r="AY421" s="79"/>
      <c r="AZ421" s="79"/>
      <c r="BA421" s="79"/>
      <c r="BB421" s="11"/>
      <c r="BC421" s="11"/>
      <c r="BD421" s="11"/>
      <c r="BE421" s="73"/>
      <c r="BF421" s="73"/>
      <c r="BG421" s="73"/>
      <c r="BH421" s="77"/>
      <c r="BI421" s="77"/>
      <c r="BJ421" s="77"/>
      <c r="BK421" s="77"/>
      <c r="BL421" s="77"/>
      <c r="BM421" s="77"/>
      <c r="BN421" s="158"/>
      <c r="BO421" s="158"/>
    </row>
    <row r="422" spans="1:67" ht="15" x14ac:dyDescent="0.25">
      <c r="A422" s="71"/>
      <c r="B422" s="11"/>
      <c r="C422" s="11"/>
      <c r="D422" s="11"/>
      <c r="E422" s="11"/>
      <c r="F422" s="11"/>
      <c r="G422" s="11"/>
      <c r="H422" s="11"/>
      <c r="I422" s="11"/>
      <c r="J422" s="249"/>
      <c r="K422" s="72"/>
      <c r="L422" s="73"/>
      <c r="M422" s="73"/>
      <c r="N422" s="74"/>
      <c r="O422" s="75"/>
      <c r="P422" s="73"/>
      <c r="Q422" s="76"/>
      <c r="R422" s="76"/>
      <c r="S422" s="76"/>
      <c r="T422" s="76"/>
      <c r="U422" s="76"/>
      <c r="V422" s="76"/>
      <c r="W422" s="76"/>
      <c r="X422" s="76"/>
      <c r="Y422" s="76"/>
      <c r="Z422" s="77"/>
      <c r="AA422" s="77"/>
      <c r="AB422" s="77"/>
      <c r="AC422" s="77"/>
      <c r="AD422" s="77"/>
      <c r="AE422" s="77"/>
      <c r="AF422" s="77"/>
      <c r="AG422" s="77"/>
      <c r="AH422" s="78"/>
      <c r="AI422" s="78"/>
      <c r="AJ422" s="78"/>
      <c r="AK422" s="78"/>
      <c r="AL422" s="78"/>
      <c r="AM422" s="78"/>
      <c r="AN422" s="76"/>
      <c r="AO422" s="76"/>
      <c r="AP422" s="76"/>
      <c r="AQ422" s="76"/>
      <c r="AR422" s="76"/>
      <c r="AS422" s="76"/>
      <c r="AT422" s="76"/>
      <c r="AU422" s="76"/>
      <c r="AV422" s="76"/>
      <c r="AW422" s="79"/>
      <c r="AX422" s="79"/>
      <c r="AY422" s="79"/>
      <c r="AZ422" s="79"/>
      <c r="BA422" s="79"/>
      <c r="BB422" s="11"/>
      <c r="BC422" s="11"/>
      <c r="BD422" s="11"/>
      <c r="BE422" s="73"/>
      <c r="BF422" s="73"/>
      <c r="BG422" s="73"/>
      <c r="BH422" s="77"/>
      <c r="BI422" s="77"/>
      <c r="BJ422" s="77"/>
      <c r="BK422" s="77"/>
      <c r="BL422" s="77"/>
      <c r="BM422" s="77"/>
      <c r="BN422" s="158"/>
      <c r="BO422" s="158"/>
    </row>
    <row r="423" spans="1:67" ht="15" x14ac:dyDescent="0.25">
      <c r="A423" s="71"/>
      <c r="B423" s="11"/>
      <c r="C423" s="11"/>
      <c r="D423" s="11"/>
      <c r="E423" s="11"/>
      <c r="F423" s="11"/>
      <c r="G423" s="11"/>
      <c r="H423" s="11"/>
      <c r="I423" s="11"/>
      <c r="J423" s="249"/>
      <c r="K423" s="72"/>
      <c r="L423" s="73"/>
      <c r="M423" s="73"/>
      <c r="N423" s="74"/>
      <c r="O423" s="75"/>
      <c r="P423" s="73"/>
      <c r="Q423" s="76"/>
      <c r="R423" s="76"/>
      <c r="S423" s="76"/>
      <c r="T423" s="76"/>
      <c r="U423" s="76"/>
      <c r="V423" s="76"/>
      <c r="W423" s="76"/>
      <c r="X423" s="76"/>
      <c r="Y423" s="76"/>
      <c r="Z423" s="77"/>
      <c r="AA423" s="77"/>
      <c r="AB423" s="77"/>
      <c r="AC423" s="77"/>
      <c r="AD423" s="77"/>
      <c r="AE423" s="77"/>
      <c r="AF423" s="77"/>
      <c r="AG423" s="77"/>
      <c r="AH423" s="78"/>
      <c r="AI423" s="78"/>
      <c r="AJ423" s="78"/>
      <c r="AK423" s="78"/>
      <c r="AL423" s="78"/>
      <c r="AM423" s="78"/>
      <c r="AN423" s="76"/>
      <c r="AO423" s="76"/>
      <c r="AP423" s="76"/>
      <c r="AQ423" s="76"/>
      <c r="AR423" s="76"/>
      <c r="AS423" s="76"/>
      <c r="AT423" s="76"/>
      <c r="AU423" s="76"/>
      <c r="AV423" s="76"/>
      <c r="AW423" s="79"/>
      <c r="AX423" s="79"/>
      <c r="AY423" s="79"/>
      <c r="AZ423" s="79"/>
      <c r="BA423" s="79"/>
      <c r="BB423" s="11"/>
      <c r="BC423" s="11"/>
      <c r="BD423" s="11"/>
      <c r="BE423" s="73"/>
      <c r="BF423" s="73"/>
      <c r="BG423" s="73"/>
      <c r="BH423" s="77"/>
      <c r="BI423" s="77"/>
      <c r="BJ423" s="77"/>
      <c r="BK423" s="77"/>
      <c r="BL423" s="77"/>
      <c r="BM423" s="77"/>
      <c r="BN423" s="158"/>
      <c r="BO423" s="158"/>
    </row>
    <row r="424" spans="1:67" ht="15" x14ac:dyDescent="0.25">
      <c r="A424" s="71"/>
      <c r="B424" s="11"/>
      <c r="C424" s="11"/>
      <c r="D424" s="11"/>
      <c r="E424" s="11"/>
      <c r="F424" s="11"/>
      <c r="G424" s="11"/>
      <c r="H424" s="11"/>
      <c r="I424" s="11"/>
      <c r="J424" s="249"/>
      <c r="K424" s="72"/>
      <c r="L424" s="73"/>
      <c r="M424" s="73"/>
      <c r="N424" s="74"/>
      <c r="O424" s="75"/>
      <c r="P424" s="73"/>
      <c r="Q424" s="76"/>
      <c r="R424" s="76"/>
      <c r="S424" s="76"/>
      <c r="T424" s="76"/>
      <c r="U424" s="76"/>
      <c r="V424" s="76"/>
      <c r="W424" s="76"/>
      <c r="X424" s="76"/>
      <c r="Y424" s="76"/>
      <c r="Z424" s="77"/>
      <c r="AA424" s="77"/>
      <c r="AB424" s="77"/>
      <c r="AC424" s="77"/>
      <c r="AD424" s="77"/>
      <c r="AE424" s="77"/>
      <c r="AF424" s="77"/>
      <c r="AG424" s="77"/>
      <c r="AH424" s="78"/>
      <c r="AI424" s="78"/>
      <c r="AJ424" s="78"/>
      <c r="AK424" s="78"/>
      <c r="AL424" s="78"/>
      <c r="AM424" s="78"/>
      <c r="AN424" s="76"/>
      <c r="AO424" s="76"/>
      <c r="AP424" s="76"/>
      <c r="AQ424" s="76"/>
      <c r="AR424" s="76"/>
      <c r="AS424" s="76"/>
      <c r="AT424" s="76"/>
      <c r="AU424" s="76"/>
      <c r="AV424" s="76"/>
      <c r="AW424" s="79"/>
      <c r="AX424" s="79"/>
      <c r="AY424" s="79"/>
      <c r="AZ424" s="79"/>
      <c r="BA424" s="79"/>
      <c r="BB424" s="11"/>
      <c r="BC424" s="11"/>
      <c r="BD424" s="11"/>
      <c r="BE424" s="73"/>
      <c r="BF424" s="73"/>
      <c r="BG424" s="73"/>
      <c r="BH424" s="77"/>
      <c r="BI424" s="77"/>
      <c r="BJ424" s="77"/>
      <c r="BK424" s="77"/>
      <c r="BL424" s="77"/>
      <c r="BM424" s="77"/>
      <c r="BN424" s="158"/>
      <c r="BO424" s="158"/>
    </row>
    <row r="425" spans="1:67" ht="15" x14ac:dyDescent="0.25">
      <c r="A425" s="71"/>
      <c r="B425" s="11"/>
      <c r="C425" s="11"/>
      <c r="D425" s="11"/>
      <c r="E425" s="11"/>
      <c r="F425" s="11"/>
      <c r="G425" s="11"/>
      <c r="H425" s="11"/>
      <c r="I425" s="11"/>
      <c r="J425" s="249"/>
      <c r="K425" s="72"/>
      <c r="L425" s="73"/>
      <c r="M425" s="73"/>
      <c r="N425" s="74"/>
      <c r="O425" s="75"/>
      <c r="P425" s="73"/>
      <c r="Q425" s="76"/>
      <c r="R425" s="76"/>
      <c r="S425" s="76"/>
      <c r="T425" s="76"/>
      <c r="U425" s="76"/>
      <c r="V425" s="76"/>
      <c r="W425" s="76"/>
      <c r="X425" s="76"/>
      <c r="Y425" s="76"/>
      <c r="Z425" s="77"/>
      <c r="AA425" s="77"/>
      <c r="AB425" s="77"/>
      <c r="AC425" s="77"/>
      <c r="AD425" s="77"/>
      <c r="AE425" s="77"/>
      <c r="AF425" s="77"/>
      <c r="AG425" s="77"/>
      <c r="AH425" s="78"/>
      <c r="AI425" s="78"/>
      <c r="AJ425" s="78"/>
      <c r="AK425" s="78"/>
      <c r="AL425" s="78"/>
      <c r="AM425" s="78"/>
      <c r="AN425" s="76"/>
      <c r="AO425" s="76"/>
      <c r="AP425" s="76"/>
      <c r="AQ425" s="76"/>
      <c r="AR425" s="76"/>
      <c r="AS425" s="76"/>
      <c r="AT425" s="76"/>
      <c r="AU425" s="76"/>
      <c r="AV425" s="76"/>
      <c r="AW425" s="79"/>
      <c r="AX425" s="79"/>
      <c r="AY425" s="79"/>
      <c r="AZ425" s="79"/>
      <c r="BA425" s="79"/>
      <c r="BB425" s="11"/>
      <c r="BC425" s="11"/>
      <c r="BD425" s="11"/>
      <c r="BE425" s="73"/>
      <c r="BF425" s="73"/>
      <c r="BG425" s="73"/>
      <c r="BH425" s="77"/>
      <c r="BI425" s="77"/>
      <c r="BJ425" s="77"/>
      <c r="BK425" s="77"/>
      <c r="BL425" s="77"/>
      <c r="BM425" s="77"/>
      <c r="BN425" s="158"/>
      <c r="BO425" s="158"/>
    </row>
    <row r="426" spans="1:67" ht="15" x14ac:dyDescent="0.25">
      <c r="A426" s="71"/>
      <c r="B426" s="11"/>
      <c r="C426" s="11"/>
      <c r="D426" s="11"/>
      <c r="E426" s="11"/>
      <c r="F426" s="11"/>
      <c r="G426" s="11"/>
      <c r="H426" s="11"/>
      <c r="I426" s="11"/>
      <c r="J426" s="249"/>
      <c r="K426" s="72"/>
      <c r="L426" s="73"/>
      <c r="M426" s="73"/>
      <c r="N426" s="74"/>
      <c r="O426" s="75"/>
      <c r="P426" s="73"/>
      <c r="Q426" s="76"/>
      <c r="R426" s="76"/>
      <c r="S426" s="76"/>
      <c r="T426" s="76"/>
      <c r="U426" s="76"/>
      <c r="V426" s="76"/>
      <c r="W426" s="76"/>
      <c r="X426" s="76"/>
      <c r="Y426" s="76"/>
      <c r="Z426" s="77"/>
      <c r="AA426" s="77"/>
      <c r="AB426" s="77"/>
      <c r="AC426" s="77"/>
      <c r="AD426" s="77"/>
      <c r="AE426" s="77"/>
      <c r="AF426" s="77"/>
      <c r="AG426" s="77"/>
      <c r="AH426" s="78"/>
      <c r="AI426" s="78"/>
      <c r="AJ426" s="78"/>
      <c r="AK426" s="78"/>
      <c r="AL426" s="78"/>
      <c r="AM426" s="78"/>
      <c r="AN426" s="76"/>
      <c r="AO426" s="76"/>
      <c r="AP426" s="76"/>
      <c r="AQ426" s="76"/>
      <c r="AR426" s="76"/>
      <c r="AS426" s="76"/>
      <c r="AT426" s="76"/>
      <c r="AU426" s="76"/>
      <c r="AV426" s="76"/>
      <c r="AW426" s="79"/>
      <c r="AX426" s="79"/>
      <c r="AY426" s="79"/>
      <c r="AZ426" s="79"/>
      <c r="BA426" s="79"/>
      <c r="BB426" s="11"/>
      <c r="BC426" s="11"/>
      <c r="BD426" s="11"/>
      <c r="BE426" s="73"/>
      <c r="BF426" s="73"/>
      <c r="BG426" s="73"/>
      <c r="BH426" s="77"/>
      <c r="BI426" s="77"/>
      <c r="BJ426" s="77"/>
      <c r="BK426" s="77"/>
      <c r="BL426" s="77"/>
      <c r="BM426" s="77"/>
      <c r="BN426" s="158"/>
      <c r="BO426" s="158"/>
    </row>
    <row r="427" spans="1:67" ht="15" x14ac:dyDescent="0.25">
      <c r="A427" s="71"/>
      <c r="B427" s="11"/>
      <c r="C427" s="11"/>
      <c r="D427" s="11"/>
      <c r="E427" s="11"/>
      <c r="F427" s="11"/>
      <c r="G427" s="11"/>
      <c r="H427" s="11"/>
      <c r="I427" s="11"/>
      <c r="J427" s="249"/>
      <c r="K427" s="72"/>
      <c r="L427" s="73"/>
      <c r="M427" s="73"/>
      <c r="N427" s="74"/>
      <c r="O427" s="75"/>
      <c r="P427" s="73"/>
      <c r="Q427" s="76"/>
      <c r="R427" s="76"/>
      <c r="S427" s="76"/>
      <c r="T427" s="76"/>
      <c r="U427" s="76"/>
      <c r="V427" s="76"/>
      <c r="W427" s="76"/>
      <c r="X427" s="76"/>
      <c r="Y427" s="76"/>
      <c r="Z427" s="77"/>
      <c r="AA427" s="77"/>
      <c r="AB427" s="77"/>
      <c r="AC427" s="77"/>
      <c r="AD427" s="77"/>
      <c r="AE427" s="77"/>
      <c r="AF427" s="77"/>
      <c r="AG427" s="77"/>
      <c r="AH427" s="78"/>
      <c r="AI427" s="78"/>
      <c r="AJ427" s="78"/>
      <c r="AK427" s="78"/>
      <c r="AL427" s="78"/>
      <c r="AM427" s="78"/>
      <c r="AN427" s="76"/>
      <c r="AO427" s="76"/>
      <c r="AP427" s="76"/>
      <c r="AQ427" s="76"/>
      <c r="AR427" s="76"/>
      <c r="AS427" s="76"/>
      <c r="AT427" s="76"/>
      <c r="AU427" s="76"/>
      <c r="AV427" s="76"/>
      <c r="AW427" s="79"/>
      <c r="AX427" s="79"/>
      <c r="AY427" s="79"/>
      <c r="AZ427" s="79"/>
      <c r="BA427" s="79"/>
      <c r="BB427" s="11"/>
      <c r="BC427" s="11"/>
      <c r="BD427" s="11"/>
      <c r="BE427" s="73"/>
      <c r="BF427" s="73"/>
      <c r="BG427" s="73"/>
      <c r="BH427" s="77"/>
      <c r="BI427" s="77"/>
      <c r="BJ427" s="77"/>
      <c r="BK427" s="77"/>
      <c r="BL427" s="77"/>
      <c r="BM427" s="77"/>
      <c r="BN427" s="158"/>
      <c r="BO427" s="158"/>
    </row>
    <row r="428" spans="1:67" ht="15" x14ac:dyDescent="0.25">
      <c r="A428" s="71"/>
      <c r="B428" s="11"/>
      <c r="C428" s="11"/>
      <c r="D428" s="11"/>
      <c r="E428" s="11"/>
      <c r="F428" s="11"/>
      <c r="G428" s="11"/>
      <c r="H428" s="11"/>
      <c r="I428" s="11"/>
      <c r="J428" s="249"/>
      <c r="K428" s="72"/>
      <c r="L428" s="73"/>
      <c r="M428" s="73"/>
      <c r="N428" s="74"/>
      <c r="O428" s="75"/>
      <c r="P428" s="73"/>
      <c r="Q428" s="76"/>
      <c r="R428" s="76"/>
      <c r="S428" s="76"/>
      <c r="T428" s="76"/>
      <c r="U428" s="76"/>
      <c r="V428" s="76"/>
      <c r="W428" s="76"/>
      <c r="X428" s="76"/>
      <c r="Y428" s="76"/>
      <c r="Z428" s="77"/>
      <c r="AA428" s="77"/>
      <c r="AB428" s="77"/>
      <c r="AC428" s="77"/>
      <c r="AD428" s="77"/>
      <c r="AE428" s="77"/>
      <c r="AF428" s="77"/>
      <c r="AG428" s="77"/>
      <c r="AH428" s="78"/>
      <c r="AI428" s="78"/>
      <c r="AJ428" s="78"/>
      <c r="AK428" s="78"/>
      <c r="AL428" s="78"/>
      <c r="AM428" s="78"/>
      <c r="AN428" s="76"/>
      <c r="AO428" s="76"/>
      <c r="AP428" s="76"/>
      <c r="AQ428" s="76"/>
      <c r="AR428" s="76"/>
      <c r="AS428" s="76"/>
      <c r="AT428" s="76"/>
      <c r="AU428" s="76"/>
      <c r="AV428" s="76"/>
      <c r="AW428" s="79"/>
      <c r="AX428" s="79"/>
      <c r="AY428" s="79"/>
      <c r="AZ428" s="79"/>
      <c r="BA428" s="79"/>
      <c r="BB428" s="11"/>
      <c r="BC428" s="11"/>
      <c r="BD428" s="11"/>
      <c r="BE428" s="73"/>
      <c r="BF428" s="73"/>
      <c r="BG428" s="73"/>
      <c r="BH428" s="77"/>
      <c r="BI428" s="77"/>
      <c r="BJ428" s="77"/>
      <c r="BK428" s="77"/>
      <c r="BL428" s="77"/>
      <c r="BM428" s="77"/>
      <c r="BN428" s="158"/>
      <c r="BO428" s="158"/>
    </row>
    <row r="429" spans="1:67" ht="15" x14ac:dyDescent="0.25">
      <c r="A429" s="71"/>
      <c r="B429" s="11"/>
      <c r="C429" s="11"/>
      <c r="D429" s="11"/>
      <c r="E429" s="11"/>
      <c r="F429" s="11"/>
      <c r="G429" s="11"/>
      <c r="H429" s="11"/>
      <c r="I429" s="11"/>
      <c r="J429" s="249"/>
      <c r="K429" s="72"/>
      <c r="L429" s="73"/>
      <c r="M429" s="73"/>
      <c r="N429" s="74"/>
      <c r="O429" s="75"/>
      <c r="P429" s="73"/>
      <c r="Q429" s="76"/>
      <c r="R429" s="76"/>
      <c r="S429" s="76"/>
      <c r="T429" s="76"/>
      <c r="U429" s="76"/>
      <c r="V429" s="76"/>
      <c r="W429" s="76"/>
      <c r="X429" s="76"/>
      <c r="Y429" s="76"/>
      <c r="Z429" s="77"/>
      <c r="AA429" s="77"/>
      <c r="AB429" s="77"/>
      <c r="AC429" s="77"/>
      <c r="AD429" s="77"/>
      <c r="AE429" s="77"/>
      <c r="AF429" s="77"/>
      <c r="AG429" s="77"/>
      <c r="AH429" s="78"/>
      <c r="AI429" s="78"/>
      <c r="AJ429" s="78"/>
      <c r="AK429" s="78"/>
      <c r="AL429" s="78"/>
      <c r="AM429" s="78"/>
      <c r="AN429" s="76"/>
      <c r="AO429" s="76"/>
      <c r="AP429" s="76"/>
      <c r="AQ429" s="76"/>
      <c r="AR429" s="76"/>
      <c r="AS429" s="76"/>
      <c r="AT429" s="76"/>
      <c r="AU429" s="76"/>
      <c r="AV429" s="76"/>
      <c r="AW429" s="79"/>
      <c r="AX429" s="79"/>
      <c r="AY429" s="79"/>
      <c r="AZ429" s="79"/>
      <c r="BA429" s="79"/>
      <c r="BB429" s="11"/>
      <c r="BC429" s="11"/>
      <c r="BD429" s="11"/>
      <c r="BE429" s="73"/>
      <c r="BF429" s="73"/>
      <c r="BG429" s="73"/>
      <c r="BH429" s="77"/>
      <c r="BI429" s="77"/>
      <c r="BJ429" s="77"/>
      <c r="BK429" s="77"/>
      <c r="BL429" s="77"/>
      <c r="BM429" s="77"/>
      <c r="BN429" s="158"/>
      <c r="BO429" s="158"/>
    </row>
    <row r="430" spans="1:67" ht="15" x14ac:dyDescent="0.25">
      <c r="A430" s="71"/>
      <c r="B430" s="11"/>
      <c r="C430" s="11"/>
      <c r="D430" s="11"/>
      <c r="E430" s="11"/>
      <c r="F430" s="11"/>
      <c r="G430" s="11"/>
      <c r="H430" s="11"/>
      <c r="I430" s="11"/>
      <c r="J430" s="249"/>
      <c r="K430" s="72"/>
      <c r="L430" s="73"/>
      <c r="M430" s="73"/>
      <c r="N430" s="74"/>
      <c r="O430" s="75"/>
      <c r="P430" s="73"/>
      <c r="Q430" s="76"/>
      <c r="R430" s="76"/>
      <c r="S430" s="76"/>
      <c r="T430" s="76"/>
      <c r="U430" s="76"/>
      <c r="V430" s="76"/>
      <c r="W430" s="76"/>
      <c r="X430" s="76"/>
      <c r="Y430" s="76"/>
      <c r="Z430" s="77"/>
      <c r="AA430" s="77"/>
      <c r="AB430" s="77"/>
      <c r="AC430" s="77"/>
      <c r="AD430" s="77"/>
      <c r="AE430" s="77"/>
      <c r="AF430" s="77"/>
      <c r="AG430" s="77"/>
      <c r="AH430" s="78"/>
      <c r="AI430" s="78"/>
      <c r="AJ430" s="78"/>
      <c r="AK430" s="78"/>
      <c r="AL430" s="78"/>
      <c r="AM430" s="78"/>
      <c r="AN430" s="76"/>
      <c r="AO430" s="76"/>
      <c r="AP430" s="76"/>
      <c r="AQ430" s="76"/>
      <c r="AR430" s="76"/>
      <c r="AS430" s="76"/>
      <c r="AT430" s="76"/>
      <c r="AU430" s="76"/>
      <c r="AV430" s="76"/>
      <c r="AW430" s="79"/>
      <c r="AX430" s="79"/>
      <c r="AY430" s="79"/>
      <c r="AZ430" s="79"/>
      <c r="BA430" s="79"/>
      <c r="BB430" s="11"/>
      <c r="BC430" s="11"/>
      <c r="BD430" s="11"/>
      <c r="BE430" s="73"/>
      <c r="BF430" s="73"/>
      <c r="BG430" s="73"/>
      <c r="BH430" s="77"/>
      <c r="BI430" s="77"/>
      <c r="BJ430" s="77"/>
      <c r="BK430" s="77"/>
      <c r="BL430" s="77"/>
      <c r="BM430" s="77"/>
      <c r="BN430" s="158"/>
      <c r="BO430" s="158"/>
    </row>
    <row r="431" spans="1:67" ht="15" x14ac:dyDescent="0.25">
      <c r="A431" s="71"/>
      <c r="B431" s="11"/>
      <c r="C431" s="11"/>
      <c r="D431" s="11"/>
      <c r="E431" s="11"/>
      <c r="F431" s="11"/>
      <c r="G431" s="11"/>
      <c r="H431" s="11"/>
      <c r="I431" s="11"/>
      <c r="J431" s="249"/>
      <c r="K431" s="72"/>
      <c r="L431" s="73"/>
      <c r="M431" s="73"/>
      <c r="N431" s="74"/>
      <c r="O431" s="75"/>
      <c r="P431" s="73"/>
      <c r="Q431" s="76"/>
      <c r="R431" s="76"/>
      <c r="S431" s="76"/>
      <c r="T431" s="76"/>
      <c r="U431" s="76"/>
      <c r="V431" s="76"/>
      <c r="W431" s="76"/>
      <c r="X431" s="76"/>
      <c r="Y431" s="76"/>
      <c r="Z431" s="77"/>
      <c r="AA431" s="77"/>
      <c r="AB431" s="77"/>
      <c r="AC431" s="77"/>
      <c r="AD431" s="77"/>
      <c r="AE431" s="77"/>
      <c r="AF431" s="77"/>
      <c r="AG431" s="77"/>
      <c r="AH431" s="78"/>
      <c r="AI431" s="78"/>
      <c r="AJ431" s="78"/>
      <c r="AK431" s="78"/>
      <c r="AL431" s="78"/>
      <c r="AM431" s="78"/>
      <c r="AN431" s="76"/>
      <c r="AO431" s="76"/>
      <c r="AP431" s="76"/>
      <c r="AQ431" s="76"/>
      <c r="AR431" s="76"/>
      <c r="AS431" s="76"/>
      <c r="AT431" s="76"/>
      <c r="AU431" s="76"/>
      <c r="AV431" s="76"/>
      <c r="AW431" s="79"/>
      <c r="AX431" s="79"/>
      <c r="AY431" s="79"/>
      <c r="AZ431" s="79"/>
      <c r="BA431" s="79"/>
      <c r="BB431" s="11"/>
      <c r="BC431" s="11"/>
      <c r="BD431" s="11"/>
      <c r="BE431" s="73"/>
      <c r="BF431" s="73"/>
      <c r="BG431" s="73"/>
      <c r="BH431" s="77"/>
      <c r="BI431" s="77"/>
      <c r="BJ431" s="77"/>
      <c r="BK431" s="77"/>
      <c r="BL431" s="77"/>
      <c r="BM431" s="77"/>
      <c r="BN431" s="158"/>
      <c r="BO431" s="158"/>
    </row>
    <row r="432" spans="1:67" ht="15" x14ac:dyDescent="0.25">
      <c r="A432" s="71"/>
      <c r="B432" s="11"/>
      <c r="C432" s="11"/>
      <c r="D432" s="11"/>
      <c r="E432" s="11"/>
      <c r="F432" s="11"/>
      <c r="G432" s="11"/>
      <c r="H432" s="11"/>
      <c r="I432" s="11"/>
      <c r="J432" s="249"/>
      <c r="K432" s="72"/>
      <c r="L432" s="73"/>
      <c r="M432" s="73"/>
      <c r="N432" s="74"/>
      <c r="O432" s="75"/>
      <c r="P432" s="73"/>
      <c r="Q432" s="76"/>
      <c r="R432" s="76"/>
      <c r="S432" s="76"/>
      <c r="T432" s="76"/>
      <c r="U432" s="76"/>
      <c r="V432" s="76"/>
      <c r="W432" s="76"/>
      <c r="X432" s="76"/>
      <c r="Y432" s="76"/>
      <c r="Z432" s="77"/>
      <c r="AA432" s="77"/>
      <c r="AB432" s="77"/>
      <c r="AC432" s="77"/>
      <c r="AD432" s="77"/>
      <c r="AE432" s="77"/>
      <c r="AF432" s="77"/>
      <c r="AG432" s="77"/>
      <c r="AH432" s="78"/>
      <c r="AI432" s="78"/>
      <c r="AJ432" s="78"/>
      <c r="AK432" s="78"/>
      <c r="AL432" s="78"/>
      <c r="AM432" s="78"/>
      <c r="AN432" s="76"/>
      <c r="AO432" s="76"/>
      <c r="AP432" s="76"/>
      <c r="AQ432" s="76"/>
      <c r="AR432" s="76"/>
      <c r="AS432" s="76"/>
      <c r="AT432" s="76"/>
      <c r="AU432" s="76"/>
      <c r="AV432" s="76"/>
      <c r="AW432" s="79"/>
      <c r="AX432" s="79"/>
      <c r="AY432" s="79"/>
      <c r="AZ432" s="79"/>
      <c r="BA432" s="79"/>
      <c r="BB432" s="11"/>
      <c r="BC432" s="11"/>
      <c r="BD432" s="11"/>
      <c r="BE432" s="73"/>
      <c r="BF432" s="73"/>
      <c r="BG432" s="73"/>
      <c r="BH432" s="77"/>
      <c r="BI432" s="77"/>
      <c r="BJ432" s="77"/>
      <c r="BK432" s="77"/>
      <c r="BL432" s="77"/>
      <c r="BM432" s="77"/>
      <c r="BN432" s="158"/>
      <c r="BO432" s="158"/>
    </row>
    <row r="433" spans="1:67" ht="15" x14ac:dyDescent="0.25">
      <c r="A433" s="71"/>
      <c r="B433" s="11"/>
      <c r="C433" s="11"/>
      <c r="D433" s="11"/>
      <c r="E433" s="11"/>
      <c r="F433" s="11"/>
      <c r="G433" s="11"/>
      <c r="H433" s="11"/>
      <c r="I433" s="11"/>
      <c r="J433" s="249"/>
      <c r="K433" s="72"/>
      <c r="L433" s="73"/>
      <c r="M433" s="73"/>
      <c r="N433" s="74"/>
      <c r="O433" s="75"/>
      <c r="P433" s="73"/>
      <c r="Q433" s="76"/>
      <c r="R433" s="76"/>
      <c r="S433" s="76"/>
      <c r="T433" s="76"/>
      <c r="U433" s="76"/>
      <c r="V433" s="76"/>
      <c r="W433" s="76"/>
      <c r="X433" s="76"/>
      <c r="Y433" s="76"/>
      <c r="Z433" s="77"/>
      <c r="AA433" s="77"/>
      <c r="AB433" s="77"/>
      <c r="AC433" s="77"/>
      <c r="AD433" s="77"/>
      <c r="AE433" s="77"/>
      <c r="AF433" s="77"/>
      <c r="AG433" s="77"/>
      <c r="AH433" s="78"/>
      <c r="AI433" s="78"/>
      <c r="AJ433" s="78"/>
      <c r="AK433" s="78"/>
      <c r="AL433" s="78"/>
      <c r="AM433" s="78"/>
      <c r="AN433" s="76"/>
      <c r="AO433" s="76"/>
      <c r="AP433" s="76"/>
      <c r="AQ433" s="76"/>
      <c r="AR433" s="76"/>
      <c r="AS433" s="76"/>
      <c r="AT433" s="76"/>
      <c r="AU433" s="76"/>
      <c r="AV433" s="76"/>
      <c r="AW433" s="79"/>
      <c r="AX433" s="79"/>
      <c r="AY433" s="79"/>
      <c r="AZ433" s="79"/>
      <c r="BA433" s="79"/>
      <c r="BB433" s="11"/>
      <c r="BC433" s="11"/>
      <c r="BD433" s="11"/>
      <c r="BE433" s="73"/>
      <c r="BF433" s="73"/>
      <c r="BG433" s="73"/>
      <c r="BH433" s="77"/>
      <c r="BI433" s="77"/>
      <c r="BJ433" s="77"/>
      <c r="BK433" s="77"/>
      <c r="BL433" s="77"/>
      <c r="BM433" s="77"/>
      <c r="BN433" s="158"/>
      <c r="BO433" s="158"/>
    </row>
    <row r="434" spans="1:67" ht="15" x14ac:dyDescent="0.25">
      <c r="A434" s="71"/>
      <c r="B434" s="11"/>
      <c r="C434" s="11"/>
      <c r="D434" s="11"/>
      <c r="E434" s="11"/>
      <c r="F434" s="11"/>
      <c r="G434" s="11"/>
      <c r="H434" s="11"/>
      <c r="I434" s="11"/>
      <c r="J434" s="249"/>
      <c r="K434" s="72"/>
      <c r="L434" s="73"/>
      <c r="M434" s="73"/>
      <c r="N434" s="74"/>
      <c r="O434" s="75"/>
      <c r="P434" s="73"/>
      <c r="Q434" s="76"/>
      <c r="R434" s="76"/>
      <c r="S434" s="76"/>
      <c r="T434" s="76"/>
      <c r="U434" s="76"/>
      <c r="V434" s="76"/>
      <c r="W434" s="76"/>
      <c r="X434" s="76"/>
      <c r="Y434" s="76"/>
      <c r="Z434" s="77"/>
      <c r="AA434" s="77"/>
      <c r="AB434" s="77"/>
      <c r="AC434" s="77"/>
      <c r="AD434" s="77"/>
      <c r="AE434" s="77"/>
      <c r="AF434" s="77"/>
      <c r="AG434" s="77"/>
      <c r="AH434" s="78"/>
      <c r="AI434" s="78"/>
      <c r="AJ434" s="78"/>
      <c r="AK434" s="78"/>
      <c r="AL434" s="78"/>
      <c r="AM434" s="78"/>
      <c r="AN434" s="76"/>
      <c r="AO434" s="76"/>
      <c r="AP434" s="76"/>
      <c r="AQ434" s="76"/>
      <c r="AR434" s="76"/>
      <c r="AS434" s="76"/>
      <c r="AT434" s="76"/>
      <c r="AU434" s="76"/>
      <c r="AV434" s="76"/>
      <c r="AW434" s="79"/>
      <c r="AX434" s="79"/>
      <c r="AY434" s="79"/>
      <c r="AZ434" s="79"/>
      <c r="BA434" s="79"/>
      <c r="BB434" s="11"/>
      <c r="BC434" s="11"/>
      <c r="BD434" s="11"/>
      <c r="BE434" s="73"/>
      <c r="BF434" s="73"/>
      <c r="BG434" s="73"/>
      <c r="BH434" s="77"/>
      <c r="BI434" s="77"/>
      <c r="BJ434" s="77"/>
      <c r="BK434" s="77"/>
      <c r="BL434" s="77"/>
      <c r="BM434" s="77"/>
      <c r="BN434" s="158"/>
      <c r="BO434" s="158"/>
    </row>
    <row r="435" spans="1:67" ht="15" x14ac:dyDescent="0.25">
      <c r="A435" s="71"/>
      <c r="B435" s="11"/>
      <c r="C435" s="11"/>
      <c r="D435" s="11"/>
      <c r="E435" s="11"/>
      <c r="F435" s="11"/>
      <c r="G435" s="11"/>
      <c r="H435" s="11"/>
      <c r="I435" s="11"/>
      <c r="J435" s="249"/>
      <c r="K435" s="72"/>
      <c r="L435" s="73"/>
      <c r="M435" s="73"/>
      <c r="N435" s="74"/>
      <c r="O435" s="75"/>
      <c r="P435" s="73"/>
      <c r="Q435" s="76"/>
      <c r="R435" s="76"/>
      <c r="S435" s="76"/>
      <c r="T435" s="76"/>
      <c r="U435" s="76"/>
      <c r="V435" s="76"/>
      <c r="W435" s="76"/>
      <c r="X435" s="76"/>
      <c r="Y435" s="76"/>
      <c r="Z435" s="77"/>
      <c r="AA435" s="77"/>
      <c r="AB435" s="77"/>
      <c r="AC435" s="77"/>
      <c r="AD435" s="77"/>
      <c r="AE435" s="77"/>
      <c r="AF435" s="77"/>
      <c r="AG435" s="77"/>
      <c r="AH435" s="78"/>
      <c r="AI435" s="78"/>
      <c r="AJ435" s="78"/>
      <c r="AK435" s="78"/>
      <c r="AL435" s="78"/>
      <c r="AM435" s="78"/>
      <c r="AN435" s="76"/>
      <c r="AO435" s="76"/>
      <c r="AP435" s="76"/>
      <c r="AQ435" s="76"/>
      <c r="AR435" s="76"/>
      <c r="AS435" s="76"/>
      <c r="AT435" s="76"/>
      <c r="AU435" s="76"/>
      <c r="AV435" s="76"/>
      <c r="AW435" s="79"/>
      <c r="AX435" s="79"/>
      <c r="AY435" s="79"/>
      <c r="AZ435" s="79"/>
      <c r="BA435" s="79"/>
      <c r="BB435" s="11"/>
      <c r="BC435" s="11"/>
      <c r="BD435" s="11"/>
      <c r="BE435" s="73"/>
      <c r="BF435" s="73"/>
      <c r="BG435" s="73"/>
      <c r="BH435" s="77"/>
      <c r="BI435" s="77"/>
      <c r="BJ435" s="77"/>
      <c r="BK435" s="77"/>
      <c r="BL435" s="77"/>
      <c r="BM435" s="77"/>
      <c r="BN435" s="158"/>
      <c r="BO435" s="158"/>
    </row>
    <row r="436" spans="1:67" ht="15" x14ac:dyDescent="0.25">
      <c r="A436" s="71"/>
      <c r="B436" s="11"/>
      <c r="C436" s="11"/>
      <c r="D436" s="11"/>
      <c r="E436" s="11"/>
      <c r="F436" s="11"/>
      <c r="G436" s="11"/>
      <c r="H436" s="11"/>
      <c r="I436" s="11"/>
      <c r="J436" s="249"/>
      <c r="K436" s="72"/>
      <c r="L436" s="73"/>
      <c r="M436" s="73"/>
      <c r="N436" s="74"/>
      <c r="O436" s="75"/>
      <c r="P436" s="73"/>
      <c r="Q436" s="76"/>
      <c r="R436" s="76"/>
      <c r="S436" s="76"/>
      <c r="T436" s="76"/>
      <c r="U436" s="76"/>
      <c r="V436" s="76"/>
      <c r="W436" s="76"/>
      <c r="X436" s="76"/>
      <c r="Y436" s="76"/>
      <c r="Z436" s="77"/>
      <c r="AA436" s="77"/>
      <c r="AB436" s="77"/>
      <c r="AC436" s="77"/>
      <c r="AD436" s="77"/>
      <c r="AE436" s="77"/>
      <c r="AF436" s="77"/>
      <c r="AG436" s="77"/>
      <c r="AH436" s="78"/>
      <c r="AI436" s="78"/>
      <c r="AJ436" s="78"/>
      <c r="AK436" s="78"/>
      <c r="AL436" s="78"/>
      <c r="AM436" s="78"/>
      <c r="AN436" s="76"/>
      <c r="AO436" s="76"/>
      <c r="AP436" s="76"/>
      <c r="AQ436" s="76"/>
      <c r="AR436" s="76"/>
      <c r="AS436" s="76"/>
      <c r="AT436" s="76"/>
      <c r="AU436" s="76"/>
      <c r="AV436" s="76"/>
      <c r="AW436" s="79"/>
      <c r="AX436" s="79"/>
      <c r="AY436" s="79"/>
      <c r="AZ436" s="79"/>
      <c r="BA436" s="79"/>
      <c r="BB436" s="11"/>
      <c r="BC436" s="11"/>
      <c r="BD436" s="11"/>
      <c r="BE436" s="73"/>
      <c r="BF436" s="73"/>
      <c r="BG436" s="73"/>
      <c r="BH436" s="77"/>
      <c r="BI436" s="77"/>
      <c r="BJ436" s="77"/>
      <c r="BK436" s="77"/>
      <c r="BL436" s="77"/>
      <c r="BM436" s="77"/>
      <c r="BN436" s="158"/>
      <c r="BO436" s="158"/>
    </row>
    <row r="437" spans="1:67" ht="15" x14ac:dyDescent="0.25">
      <c r="A437" s="71"/>
      <c r="B437" s="11"/>
      <c r="C437" s="11"/>
      <c r="D437" s="11"/>
      <c r="E437" s="11"/>
      <c r="F437" s="11"/>
      <c r="G437" s="11"/>
      <c r="H437" s="11"/>
      <c r="I437" s="11"/>
      <c r="J437" s="249"/>
      <c r="K437" s="72"/>
      <c r="L437" s="73"/>
      <c r="M437" s="73"/>
      <c r="N437" s="74"/>
      <c r="O437" s="75"/>
      <c r="P437" s="73"/>
      <c r="Q437" s="76"/>
      <c r="R437" s="76"/>
      <c r="S437" s="76"/>
      <c r="T437" s="76"/>
      <c r="U437" s="76"/>
      <c r="V437" s="76"/>
      <c r="W437" s="76"/>
      <c r="X437" s="76"/>
      <c r="Y437" s="76"/>
      <c r="Z437" s="77"/>
      <c r="AA437" s="77"/>
      <c r="AB437" s="77"/>
      <c r="AC437" s="77"/>
      <c r="AD437" s="77"/>
      <c r="AE437" s="77"/>
      <c r="AF437" s="77"/>
      <c r="AG437" s="77"/>
      <c r="AH437" s="78"/>
      <c r="AI437" s="78"/>
      <c r="AJ437" s="78"/>
      <c r="AK437" s="78"/>
      <c r="AL437" s="78"/>
      <c r="AM437" s="78"/>
      <c r="AN437" s="76"/>
      <c r="AO437" s="76"/>
      <c r="AP437" s="76"/>
      <c r="AQ437" s="76"/>
      <c r="AR437" s="76"/>
      <c r="AS437" s="76"/>
      <c r="AT437" s="76"/>
      <c r="AU437" s="76"/>
      <c r="AV437" s="76"/>
      <c r="AW437" s="79"/>
      <c r="AX437" s="79"/>
      <c r="AY437" s="79"/>
      <c r="AZ437" s="79"/>
      <c r="BA437" s="79"/>
      <c r="BB437" s="11"/>
      <c r="BC437" s="11"/>
      <c r="BD437" s="11"/>
      <c r="BE437" s="73"/>
      <c r="BF437" s="73"/>
      <c r="BG437" s="73"/>
      <c r="BH437" s="77"/>
      <c r="BI437" s="77"/>
      <c r="BJ437" s="77"/>
      <c r="BK437" s="77"/>
      <c r="BL437" s="77"/>
      <c r="BM437" s="77"/>
      <c r="BN437" s="158"/>
      <c r="BO437" s="158"/>
    </row>
    <row r="438" spans="1:67" ht="15" x14ac:dyDescent="0.25">
      <c r="A438" s="71"/>
      <c r="B438" s="11"/>
      <c r="C438" s="11"/>
      <c r="D438" s="11"/>
      <c r="E438" s="11"/>
      <c r="F438" s="11"/>
      <c r="G438" s="11"/>
      <c r="H438" s="11"/>
      <c r="I438" s="11"/>
      <c r="J438" s="249"/>
      <c r="K438" s="72"/>
      <c r="L438" s="73"/>
      <c r="M438" s="73"/>
      <c r="N438" s="74"/>
      <c r="O438" s="75"/>
      <c r="P438" s="73"/>
      <c r="Q438" s="76"/>
      <c r="R438" s="76"/>
      <c r="S438" s="76"/>
      <c r="T438" s="76"/>
      <c r="U438" s="76"/>
      <c r="V438" s="76"/>
      <c r="W438" s="76"/>
      <c r="X438" s="76"/>
      <c r="Y438" s="76"/>
      <c r="Z438" s="77"/>
      <c r="AA438" s="77"/>
      <c r="AB438" s="77"/>
      <c r="AC438" s="77"/>
      <c r="AD438" s="77"/>
      <c r="AE438" s="77"/>
      <c r="AF438" s="77"/>
      <c r="AG438" s="77"/>
      <c r="AH438" s="78"/>
      <c r="AI438" s="78"/>
      <c r="AJ438" s="78"/>
      <c r="AK438" s="78"/>
      <c r="AL438" s="78"/>
      <c r="AM438" s="78"/>
      <c r="AN438" s="76"/>
      <c r="AO438" s="76"/>
      <c r="AP438" s="76"/>
      <c r="AQ438" s="76"/>
      <c r="AR438" s="76"/>
      <c r="AS438" s="76"/>
      <c r="AT438" s="76"/>
      <c r="AU438" s="76"/>
      <c r="AV438" s="76"/>
      <c r="AW438" s="79"/>
      <c r="AX438" s="79"/>
      <c r="AY438" s="79"/>
      <c r="AZ438" s="79"/>
      <c r="BA438" s="79"/>
      <c r="BB438" s="11"/>
      <c r="BC438" s="11"/>
      <c r="BD438" s="11"/>
      <c r="BE438" s="73"/>
      <c r="BF438" s="73"/>
      <c r="BG438" s="73"/>
      <c r="BH438" s="77"/>
      <c r="BI438" s="77"/>
      <c r="BJ438" s="77"/>
      <c r="BK438" s="77"/>
      <c r="BL438" s="77"/>
      <c r="BM438" s="77"/>
      <c r="BN438" s="158"/>
      <c r="BO438" s="158"/>
    </row>
    <row r="439" spans="1:67" ht="15" x14ac:dyDescent="0.25">
      <c r="A439" s="71"/>
      <c r="B439" s="11"/>
      <c r="C439" s="11"/>
      <c r="D439" s="11"/>
      <c r="E439" s="11"/>
      <c r="F439" s="11"/>
      <c r="G439" s="11"/>
      <c r="H439" s="11"/>
      <c r="I439" s="11"/>
      <c r="J439" s="249"/>
      <c r="K439" s="72"/>
      <c r="L439" s="73"/>
      <c r="M439" s="73"/>
      <c r="N439" s="74"/>
      <c r="O439" s="75"/>
      <c r="P439" s="73"/>
      <c r="Q439" s="76"/>
      <c r="R439" s="76"/>
      <c r="S439" s="76"/>
      <c r="T439" s="76"/>
      <c r="U439" s="76"/>
      <c r="V439" s="76"/>
      <c r="W439" s="76"/>
      <c r="X439" s="76"/>
      <c r="Y439" s="76"/>
      <c r="Z439" s="77"/>
      <c r="AA439" s="77"/>
      <c r="AB439" s="77"/>
      <c r="AC439" s="77"/>
      <c r="AD439" s="77"/>
      <c r="AE439" s="77"/>
      <c r="AF439" s="77"/>
      <c r="AG439" s="77"/>
      <c r="AH439" s="78"/>
      <c r="AI439" s="78"/>
      <c r="AJ439" s="78"/>
      <c r="AK439" s="78"/>
      <c r="AL439" s="78"/>
      <c r="AM439" s="78"/>
      <c r="AN439" s="76"/>
      <c r="AO439" s="76"/>
      <c r="AP439" s="76"/>
      <c r="AQ439" s="76"/>
      <c r="AR439" s="76"/>
      <c r="AS439" s="76"/>
      <c r="AT439" s="76"/>
      <c r="AU439" s="76"/>
      <c r="AV439" s="76"/>
      <c r="AW439" s="79"/>
      <c r="AX439" s="79"/>
      <c r="AY439" s="79"/>
      <c r="AZ439" s="79"/>
      <c r="BA439" s="79"/>
      <c r="BB439" s="11"/>
      <c r="BC439" s="11"/>
      <c r="BD439" s="11"/>
      <c r="BE439" s="73"/>
      <c r="BF439" s="73"/>
      <c r="BG439" s="73"/>
      <c r="BH439" s="77"/>
      <c r="BI439" s="77"/>
      <c r="BJ439" s="77"/>
      <c r="BK439" s="77"/>
      <c r="BL439" s="77"/>
      <c r="BM439" s="77"/>
      <c r="BN439" s="158"/>
      <c r="BO439" s="158"/>
    </row>
    <row r="440" spans="1:67" ht="15" x14ac:dyDescent="0.25">
      <c r="A440" s="71"/>
      <c r="B440" s="11"/>
      <c r="C440" s="11"/>
      <c r="D440" s="11"/>
      <c r="E440" s="11"/>
      <c r="F440" s="11"/>
      <c r="G440" s="11"/>
      <c r="H440" s="11"/>
      <c r="I440" s="11"/>
      <c r="J440" s="249"/>
      <c r="K440" s="72"/>
      <c r="L440" s="73"/>
      <c r="M440" s="73"/>
      <c r="N440" s="74"/>
      <c r="O440" s="75"/>
      <c r="P440" s="73"/>
      <c r="Q440" s="76"/>
      <c r="R440" s="76"/>
      <c r="S440" s="76"/>
      <c r="T440" s="76"/>
      <c r="U440" s="76"/>
      <c r="V440" s="76"/>
      <c r="W440" s="76"/>
      <c r="X440" s="76"/>
      <c r="Y440" s="76"/>
      <c r="Z440" s="77"/>
      <c r="AA440" s="77"/>
      <c r="AB440" s="77"/>
      <c r="AC440" s="77"/>
      <c r="AD440" s="77"/>
      <c r="AE440" s="77"/>
      <c r="AF440" s="77"/>
      <c r="AG440" s="77"/>
      <c r="AH440" s="78"/>
      <c r="AI440" s="78"/>
      <c r="AJ440" s="78"/>
      <c r="AK440" s="78"/>
      <c r="AL440" s="78"/>
      <c r="AM440" s="78"/>
      <c r="AN440" s="76"/>
      <c r="AO440" s="76"/>
      <c r="AP440" s="76"/>
      <c r="AQ440" s="76"/>
      <c r="AR440" s="76"/>
      <c r="AS440" s="76"/>
      <c r="AT440" s="76"/>
      <c r="AU440" s="76"/>
      <c r="AV440" s="76"/>
      <c r="AW440" s="79"/>
      <c r="AX440" s="79"/>
      <c r="AY440" s="79"/>
      <c r="AZ440" s="79"/>
      <c r="BA440" s="79"/>
      <c r="BB440" s="11"/>
      <c r="BC440" s="11"/>
      <c r="BD440" s="11"/>
      <c r="BE440" s="73"/>
      <c r="BF440" s="73"/>
      <c r="BG440" s="73"/>
      <c r="BH440" s="77"/>
      <c r="BI440" s="77"/>
      <c r="BJ440" s="77"/>
      <c r="BK440" s="77"/>
      <c r="BL440" s="77"/>
      <c r="BM440" s="77"/>
      <c r="BN440" s="158"/>
      <c r="BO440" s="158"/>
    </row>
    <row r="441" spans="1:67" ht="15" x14ac:dyDescent="0.25">
      <c r="A441" s="71"/>
      <c r="B441" s="11"/>
      <c r="C441" s="11"/>
      <c r="D441" s="11"/>
      <c r="E441" s="11"/>
      <c r="F441" s="11"/>
      <c r="G441" s="11"/>
      <c r="H441" s="11"/>
      <c r="I441" s="11"/>
      <c r="J441" s="249"/>
      <c r="K441" s="72"/>
      <c r="L441" s="73"/>
      <c r="M441" s="73"/>
      <c r="N441" s="74"/>
      <c r="O441" s="75"/>
      <c r="P441" s="73"/>
      <c r="Q441" s="76"/>
      <c r="R441" s="76"/>
      <c r="S441" s="76"/>
      <c r="T441" s="76"/>
      <c r="U441" s="76"/>
      <c r="V441" s="76"/>
      <c r="W441" s="76"/>
      <c r="X441" s="76"/>
      <c r="Y441" s="76"/>
      <c r="Z441" s="77"/>
      <c r="AA441" s="77"/>
      <c r="AB441" s="77"/>
      <c r="AC441" s="77"/>
      <c r="AD441" s="77"/>
      <c r="AE441" s="77"/>
      <c r="AF441" s="77"/>
      <c r="AG441" s="77"/>
      <c r="AH441" s="78"/>
      <c r="AI441" s="78"/>
      <c r="AJ441" s="78"/>
      <c r="AK441" s="78"/>
      <c r="AL441" s="78"/>
      <c r="AM441" s="78"/>
      <c r="AN441" s="76"/>
      <c r="AO441" s="76"/>
      <c r="AP441" s="76"/>
      <c r="AQ441" s="76"/>
      <c r="AR441" s="76"/>
      <c r="AS441" s="76"/>
      <c r="AT441" s="76"/>
      <c r="AU441" s="76"/>
      <c r="AV441" s="76"/>
      <c r="AW441" s="79"/>
      <c r="AX441" s="79"/>
      <c r="AY441" s="79"/>
      <c r="AZ441" s="79"/>
      <c r="BA441" s="79"/>
      <c r="BB441" s="11"/>
      <c r="BC441" s="11"/>
      <c r="BD441" s="11"/>
      <c r="BE441" s="73"/>
      <c r="BF441" s="73"/>
      <c r="BG441" s="73"/>
      <c r="BH441" s="77"/>
      <c r="BI441" s="77"/>
      <c r="BJ441" s="77"/>
      <c r="BK441" s="77"/>
      <c r="BL441" s="77"/>
      <c r="BM441" s="77"/>
      <c r="BN441" s="158"/>
      <c r="BO441" s="158"/>
    </row>
    <row r="442" spans="1:67" ht="15" x14ac:dyDescent="0.25">
      <c r="A442" s="71"/>
      <c r="B442" s="11"/>
      <c r="C442" s="11"/>
      <c r="D442" s="11"/>
      <c r="E442" s="11"/>
      <c r="F442" s="11"/>
      <c r="G442" s="11"/>
      <c r="H442" s="11"/>
      <c r="I442" s="11"/>
      <c r="J442" s="249"/>
      <c r="K442" s="72"/>
      <c r="L442" s="73"/>
      <c r="M442" s="73"/>
      <c r="N442" s="74"/>
      <c r="O442" s="75"/>
      <c r="P442" s="73"/>
      <c r="Q442" s="76"/>
      <c r="R442" s="76"/>
      <c r="S442" s="76"/>
      <c r="T442" s="76"/>
      <c r="U442" s="76"/>
      <c r="V442" s="76"/>
      <c r="W442" s="76"/>
      <c r="X442" s="76"/>
      <c r="Y442" s="76"/>
      <c r="Z442" s="77"/>
      <c r="AA442" s="77"/>
      <c r="AB442" s="77"/>
      <c r="AC442" s="77"/>
      <c r="AD442" s="77"/>
      <c r="AE442" s="77"/>
      <c r="AF442" s="77"/>
      <c r="AG442" s="77"/>
      <c r="AH442" s="78"/>
      <c r="AI442" s="78"/>
      <c r="AJ442" s="78"/>
      <c r="AK442" s="78"/>
      <c r="AL442" s="78"/>
      <c r="AM442" s="78"/>
      <c r="AN442" s="76"/>
      <c r="AO442" s="76"/>
      <c r="AP442" s="76"/>
      <c r="AQ442" s="76"/>
      <c r="AR442" s="76"/>
      <c r="AS442" s="76"/>
      <c r="AT442" s="76"/>
      <c r="AU442" s="76"/>
      <c r="AV442" s="76"/>
      <c r="AW442" s="79"/>
      <c r="AX442" s="79"/>
      <c r="AY442" s="79"/>
      <c r="AZ442" s="79"/>
      <c r="BA442" s="79"/>
      <c r="BB442" s="11"/>
      <c r="BC442" s="11"/>
      <c r="BD442" s="11"/>
      <c r="BE442" s="73"/>
      <c r="BF442" s="73"/>
      <c r="BG442" s="73"/>
      <c r="BH442" s="77"/>
      <c r="BI442" s="77"/>
      <c r="BJ442" s="77"/>
      <c r="BK442" s="77"/>
      <c r="BL442" s="77"/>
      <c r="BM442" s="77"/>
      <c r="BN442" s="158"/>
      <c r="BO442" s="158"/>
    </row>
    <row r="443" spans="1:67" ht="15" x14ac:dyDescent="0.25">
      <c r="A443" s="71"/>
      <c r="B443" s="11"/>
      <c r="C443" s="11"/>
      <c r="D443" s="11"/>
      <c r="E443" s="11"/>
      <c r="F443" s="11"/>
      <c r="G443" s="11"/>
      <c r="H443" s="11"/>
      <c r="I443" s="11"/>
      <c r="J443" s="249"/>
      <c r="K443" s="72"/>
      <c r="L443" s="73"/>
      <c r="M443" s="73"/>
      <c r="N443" s="74"/>
      <c r="O443" s="75"/>
      <c r="P443" s="73"/>
      <c r="Q443" s="76"/>
      <c r="R443" s="76"/>
      <c r="S443" s="76"/>
      <c r="T443" s="76"/>
      <c r="U443" s="76"/>
      <c r="V443" s="76"/>
      <c r="W443" s="76"/>
      <c r="X443" s="76"/>
      <c r="Y443" s="76"/>
      <c r="Z443" s="77"/>
      <c r="AA443" s="77"/>
      <c r="AB443" s="77"/>
      <c r="AC443" s="77"/>
      <c r="AD443" s="77"/>
      <c r="AE443" s="77"/>
      <c r="AF443" s="77"/>
      <c r="AG443" s="77"/>
      <c r="AH443" s="78"/>
      <c r="AI443" s="78"/>
      <c r="AJ443" s="78"/>
      <c r="AK443" s="78"/>
      <c r="AL443" s="78"/>
      <c r="AM443" s="78"/>
      <c r="AN443" s="76"/>
      <c r="AO443" s="76"/>
      <c r="AP443" s="76"/>
      <c r="AQ443" s="76"/>
      <c r="AR443" s="76"/>
      <c r="AS443" s="76"/>
      <c r="AT443" s="76"/>
      <c r="AU443" s="76"/>
      <c r="AV443" s="76"/>
      <c r="AW443" s="79"/>
      <c r="AX443" s="79"/>
      <c r="AY443" s="79"/>
      <c r="AZ443" s="79"/>
      <c r="BA443" s="79"/>
      <c r="BB443" s="11"/>
      <c r="BC443" s="11"/>
      <c r="BD443" s="11"/>
      <c r="BE443" s="73"/>
      <c r="BF443" s="73"/>
      <c r="BG443" s="73"/>
      <c r="BH443" s="77"/>
      <c r="BI443" s="77"/>
      <c r="BJ443" s="77"/>
      <c r="BK443" s="77"/>
      <c r="BL443" s="77"/>
      <c r="BM443" s="77"/>
      <c r="BN443" s="158"/>
      <c r="BO443" s="158"/>
    </row>
    <row r="444" spans="1:67" ht="15" x14ac:dyDescent="0.25">
      <c r="A444" s="71"/>
      <c r="B444" s="11"/>
      <c r="C444" s="11"/>
      <c r="D444" s="11"/>
      <c r="E444" s="11"/>
      <c r="F444" s="11"/>
      <c r="G444" s="11"/>
      <c r="H444" s="11"/>
      <c r="I444" s="11"/>
      <c r="J444" s="249"/>
      <c r="K444" s="72"/>
      <c r="L444" s="73"/>
      <c r="M444" s="73"/>
      <c r="N444" s="74"/>
      <c r="O444" s="75"/>
      <c r="P444" s="73"/>
      <c r="Q444" s="76"/>
      <c r="R444" s="76"/>
      <c r="S444" s="76"/>
      <c r="T444" s="76"/>
      <c r="U444" s="76"/>
      <c r="V444" s="76"/>
      <c r="W444" s="76"/>
      <c r="X444" s="76"/>
      <c r="Y444" s="76"/>
      <c r="Z444" s="77"/>
      <c r="AA444" s="77"/>
      <c r="AB444" s="77"/>
      <c r="AC444" s="77"/>
      <c r="AD444" s="77"/>
      <c r="AE444" s="77"/>
      <c r="AF444" s="77"/>
      <c r="AG444" s="77"/>
      <c r="AH444" s="78"/>
      <c r="AI444" s="78"/>
      <c r="AJ444" s="78"/>
      <c r="AK444" s="78"/>
      <c r="AL444" s="78"/>
      <c r="AM444" s="78"/>
      <c r="AN444" s="76"/>
      <c r="AO444" s="76"/>
      <c r="AP444" s="76"/>
      <c r="AQ444" s="76"/>
      <c r="AR444" s="76"/>
      <c r="AS444" s="76"/>
      <c r="AT444" s="76"/>
      <c r="AU444" s="76"/>
      <c r="AV444" s="76"/>
      <c r="AW444" s="79"/>
      <c r="AX444" s="79"/>
      <c r="AY444" s="79"/>
      <c r="AZ444" s="79"/>
      <c r="BA444" s="79"/>
      <c r="BB444" s="11"/>
      <c r="BC444" s="11"/>
      <c r="BD444" s="11"/>
      <c r="BE444" s="73"/>
      <c r="BF444" s="73"/>
      <c r="BG444" s="73"/>
      <c r="BH444" s="77"/>
      <c r="BI444" s="77"/>
      <c r="BJ444" s="77"/>
      <c r="BK444" s="77"/>
      <c r="BL444" s="77"/>
      <c r="BM444" s="77"/>
      <c r="BN444" s="158"/>
      <c r="BO444" s="158"/>
    </row>
    <row r="445" spans="1:67" ht="15" x14ac:dyDescent="0.25">
      <c r="A445" s="71"/>
      <c r="B445" s="11"/>
      <c r="C445" s="11"/>
      <c r="D445" s="11"/>
      <c r="E445" s="11"/>
      <c r="F445" s="11"/>
      <c r="G445" s="11"/>
      <c r="H445" s="11"/>
      <c r="I445" s="11"/>
      <c r="J445" s="249"/>
      <c r="K445" s="72"/>
      <c r="L445" s="73"/>
      <c r="M445" s="73"/>
      <c r="N445" s="74"/>
      <c r="O445" s="75"/>
      <c r="P445" s="73"/>
      <c r="Q445" s="76"/>
      <c r="R445" s="76"/>
      <c r="S445" s="76"/>
      <c r="T445" s="76"/>
      <c r="U445" s="76"/>
      <c r="V445" s="76"/>
      <c r="W445" s="76"/>
      <c r="X445" s="76"/>
      <c r="Y445" s="76"/>
      <c r="Z445" s="77"/>
      <c r="AA445" s="77"/>
      <c r="AB445" s="77"/>
      <c r="AC445" s="77"/>
      <c r="AD445" s="77"/>
      <c r="AE445" s="77"/>
      <c r="AF445" s="77"/>
      <c r="AG445" s="77"/>
      <c r="AH445" s="78"/>
      <c r="AI445" s="78"/>
      <c r="AJ445" s="78"/>
      <c r="AK445" s="78"/>
      <c r="AL445" s="78"/>
      <c r="AM445" s="78"/>
      <c r="AN445" s="76"/>
      <c r="AO445" s="76"/>
      <c r="AP445" s="76"/>
      <c r="AQ445" s="76"/>
      <c r="AR445" s="76"/>
      <c r="AS445" s="76"/>
      <c r="AT445" s="76"/>
      <c r="AU445" s="76"/>
      <c r="AV445" s="76"/>
      <c r="AW445" s="79"/>
      <c r="AX445" s="79"/>
      <c r="AY445" s="79"/>
      <c r="AZ445" s="79"/>
      <c r="BA445" s="79"/>
      <c r="BB445" s="11"/>
      <c r="BC445" s="11"/>
      <c r="BD445" s="11"/>
      <c r="BE445" s="73"/>
      <c r="BF445" s="73"/>
      <c r="BG445" s="73"/>
      <c r="BH445" s="77"/>
      <c r="BI445" s="77"/>
      <c r="BJ445" s="77"/>
      <c r="BK445" s="77"/>
      <c r="BL445" s="77"/>
      <c r="BM445" s="77"/>
      <c r="BN445" s="158"/>
      <c r="BO445" s="158"/>
    </row>
    <row r="446" spans="1:67" ht="15" x14ac:dyDescent="0.25">
      <c r="A446" s="71"/>
      <c r="B446" s="11"/>
      <c r="C446" s="11"/>
      <c r="D446" s="11"/>
      <c r="E446" s="11"/>
      <c r="F446" s="11"/>
      <c r="G446" s="11"/>
      <c r="H446" s="11"/>
      <c r="I446" s="11"/>
      <c r="J446" s="249"/>
      <c r="K446" s="72"/>
      <c r="L446" s="73"/>
      <c r="M446" s="73"/>
      <c r="N446" s="74"/>
      <c r="O446" s="75"/>
      <c r="P446" s="73"/>
      <c r="Q446" s="76"/>
      <c r="R446" s="76"/>
      <c r="S446" s="76"/>
      <c r="T446" s="76"/>
      <c r="U446" s="76"/>
      <c r="V446" s="76"/>
      <c r="W446" s="76"/>
      <c r="X446" s="76"/>
      <c r="Y446" s="76"/>
      <c r="Z446" s="77"/>
      <c r="AA446" s="77"/>
      <c r="AB446" s="77"/>
      <c r="AC446" s="77"/>
      <c r="AD446" s="77"/>
      <c r="AE446" s="77"/>
      <c r="AF446" s="77"/>
      <c r="AG446" s="77"/>
      <c r="AH446" s="78"/>
      <c r="AI446" s="78"/>
      <c r="AJ446" s="78"/>
      <c r="AK446" s="78"/>
      <c r="AL446" s="78"/>
      <c r="AM446" s="78"/>
      <c r="AN446" s="76"/>
      <c r="AO446" s="76"/>
      <c r="AP446" s="76"/>
      <c r="AQ446" s="76"/>
      <c r="AR446" s="76"/>
      <c r="AS446" s="76"/>
      <c r="AT446" s="76"/>
      <c r="AU446" s="76"/>
      <c r="AV446" s="76"/>
      <c r="AW446" s="79"/>
      <c r="AX446" s="79"/>
      <c r="AY446" s="79"/>
      <c r="AZ446" s="79"/>
      <c r="BA446" s="79"/>
      <c r="BB446" s="11"/>
      <c r="BC446" s="11"/>
      <c r="BD446" s="11"/>
      <c r="BE446" s="73"/>
      <c r="BF446" s="73"/>
      <c r="BG446" s="73"/>
      <c r="BH446" s="77"/>
      <c r="BI446" s="77"/>
      <c r="BJ446" s="77"/>
      <c r="BK446" s="77"/>
      <c r="BL446" s="77"/>
      <c r="BM446" s="77"/>
      <c r="BN446" s="158"/>
      <c r="BO446" s="158"/>
    </row>
    <row r="447" spans="1:67" ht="15" x14ac:dyDescent="0.25">
      <c r="A447" s="71"/>
      <c r="B447" s="11"/>
      <c r="C447" s="11"/>
      <c r="D447" s="11"/>
      <c r="E447" s="11"/>
      <c r="F447" s="11"/>
      <c r="G447" s="11"/>
      <c r="H447" s="11"/>
      <c r="I447" s="11"/>
      <c r="J447" s="249"/>
      <c r="K447" s="72"/>
      <c r="L447" s="73"/>
      <c r="M447" s="73"/>
      <c r="N447" s="74"/>
      <c r="O447" s="75"/>
      <c r="P447" s="73"/>
      <c r="Q447" s="76"/>
      <c r="R447" s="76"/>
      <c r="S447" s="76"/>
      <c r="T447" s="76"/>
      <c r="U447" s="76"/>
      <c r="V447" s="76"/>
      <c r="W447" s="76"/>
      <c r="X447" s="76"/>
      <c r="Y447" s="76"/>
      <c r="Z447" s="77"/>
      <c r="AA447" s="77"/>
      <c r="AB447" s="77"/>
      <c r="AC447" s="77"/>
      <c r="AD447" s="77"/>
      <c r="AE447" s="77"/>
      <c r="AF447" s="77"/>
      <c r="AG447" s="77"/>
      <c r="AH447" s="78"/>
      <c r="AI447" s="78"/>
      <c r="AJ447" s="78"/>
      <c r="AK447" s="78"/>
      <c r="AL447" s="78"/>
      <c r="AM447" s="78"/>
      <c r="AN447" s="76"/>
      <c r="AO447" s="76"/>
      <c r="AP447" s="76"/>
      <c r="AQ447" s="76"/>
      <c r="AR447" s="76"/>
      <c r="AS447" s="76"/>
      <c r="AT447" s="76"/>
      <c r="AU447" s="76"/>
      <c r="AV447" s="76"/>
      <c r="AW447" s="79"/>
      <c r="AX447" s="79"/>
      <c r="AY447" s="79"/>
      <c r="AZ447" s="79"/>
      <c r="BA447" s="79"/>
      <c r="BB447" s="11"/>
      <c r="BC447" s="11"/>
      <c r="BD447" s="11"/>
      <c r="BE447" s="73"/>
      <c r="BF447" s="73"/>
      <c r="BG447" s="73"/>
      <c r="BH447" s="77"/>
      <c r="BI447" s="77"/>
      <c r="BJ447" s="77"/>
      <c r="BK447" s="77"/>
      <c r="BL447" s="77"/>
      <c r="BM447" s="77"/>
      <c r="BN447" s="158"/>
      <c r="BO447" s="158"/>
    </row>
    <row r="448" spans="1:67" ht="15" x14ac:dyDescent="0.25">
      <c r="A448" s="71"/>
      <c r="B448" s="11"/>
      <c r="C448" s="11"/>
      <c r="D448" s="11"/>
      <c r="E448" s="11"/>
      <c r="F448" s="11"/>
      <c r="G448" s="11"/>
      <c r="H448" s="11"/>
      <c r="I448" s="11"/>
      <c r="J448" s="249"/>
      <c r="K448" s="72"/>
      <c r="L448" s="73"/>
      <c r="M448" s="73"/>
      <c r="N448" s="74"/>
      <c r="O448" s="75"/>
      <c r="P448" s="73"/>
      <c r="Q448" s="76"/>
      <c r="R448" s="76"/>
      <c r="S448" s="76"/>
      <c r="T448" s="76"/>
      <c r="U448" s="76"/>
      <c r="V448" s="76"/>
      <c r="W448" s="76"/>
      <c r="X448" s="76"/>
      <c r="Y448" s="76"/>
      <c r="Z448" s="77"/>
      <c r="AA448" s="77"/>
      <c r="AB448" s="77"/>
      <c r="AC448" s="77"/>
      <c r="AD448" s="77"/>
      <c r="AE448" s="77"/>
      <c r="AF448" s="77"/>
      <c r="AG448" s="77"/>
      <c r="AH448" s="78"/>
      <c r="AI448" s="78"/>
      <c r="AJ448" s="78"/>
      <c r="AK448" s="78"/>
      <c r="AL448" s="78"/>
      <c r="AM448" s="78"/>
      <c r="AN448" s="76"/>
      <c r="AO448" s="76"/>
      <c r="AP448" s="76"/>
      <c r="AQ448" s="76"/>
      <c r="AR448" s="76"/>
      <c r="AS448" s="76"/>
      <c r="AT448" s="76"/>
      <c r="AU448" s="76"/>
      <c r="AV448" s="76"/>
      <c r="AW448" s="79"/>
      <c r="AX448" s="79"/>
      <c r="AY448" s="79"/>
      <c r="AZ448" s="79"/>
      <c r="BA448" s="79"/>
      <c r="BB448" s="11"/>
      <c r="BC448" s="11"/>
      <c r="BD448" s="11"/>
      <c r="BE448" s="73"/>
      <c r="BF448" s="73"/>
      <c r="BG448" s="73"/>
      <c r="BH448" s="77"/>
      <c r="BI448" s="77"/>
      <c r="BJ448" s="77"/>
      <c r="BK448" s="77"/>
      <c r="BL448" s="77"/>
      <c r="BM448" s="77"/>
      <c r="BN448" s="158"/>
      <c r="BO448" s="158"/>
    </row>
    <row r="449" spans="1:67" ht="15" x14ac:dyDescent="0.25">
      <c r="A449" s="71"/>
      <c r="B449" s="11"/>
      <c r="C449" s="11"/>
      <c r="D449" s="11"/>
      <c r="E449" s="11"/>
      <c r="F449" s="11"/>
      <c r="G449" s="11"/>
      <c r="H449" s="11"/>
      <c r="I449" s="11"/>
      <c r="J449" s="249"/>
      <c r="K449" s="72"/>
      <c r="L449" s="73"/>
      <c r="M449" s="73"/>
      <c r="N449" s="74"/>
      <c r="O449" s="75"/>
      <c r="P449" s="73"/>
      <c r="Q449" s="76"/>
      <c r="R449" s="76"/>
      <c r="S449" s="76"/>
      <c r="T449" s="76"/>
      <c r="U449" s="76"/>
      <c r="V449" s="76"/>
      <c r="W449" s="76"/>
      <c r="X449" s="76"/>
      <c r="Y449" s="76"/>
      <c r="Z449" s="77"/>
      <c r="AA449" s="77"/>
      <c r="AB449" s="77"/>
      <c r="AC449" s="77"/>
      <c r="AD449" s="77"/>
      <c r="AE449" s="77"/>
      <c r="AF449" s="77"/>
      <c r="AG449" s="77"/>
      <c r="AH449" s="78"/>
      <c r="AI449" s="78"/>
      <c r="AJ449" s="78"/>
      <c r="AK449" s="78"/>
      <c r="AL449" s="78"/>
      <c r="AM449" s="78"/>
      <c r="AN449" s="76"/>
      <c r="AO449" s="76"/>
      <c r="AP449" s="76"/>
      <c r="AQ449" s="76"/>
      <c r="AR449" s="76"/>
      <c r="AS449" s="76"/>
      <c r="AT449" s="76"/>
      <c r="AU449" s="76"/>
      <c r="AV449" s="76"/>
      <c r="AW449" s="79"/>
      <c r="AX449" s="79"/>
      <c r="AY449" s="79"/>
      <c r="AZ449" s="79"/>
      <c r="BA449" s="79"/>
      <c r="BB449" s="11"/>
      <c r="BC449" s="11"/>
      <c r="BD449" s="11"/>
      <c r="BE449" s="73"/>
      <c r="BF449" s="73"/>
      <c r="BG449" s="73"/>
      <c r="BH449" s="77"/>
      <c r="BI449" s="77"/>
      <c r="BJ449" s="77"/>
      <c r="BK449" s="77"/>
      <c r="BL449" s="77"/>
      <c r="BM449" s="77"/>
      <c r="BN449" s="158"/>
      <c r="BO449" s="158"/>
    </row>
    <row r="450" spans="1:67" ht="15" x14ac:dyDescent="0.25">
      <c r="A450" s="71"/>
      <c r="B450" s="11"/>
      <c r="C450" s="11"/>
      <c r="D450" s="11"/>
      <c r="E450" s="11"/>
      <c r="F450" s="11"/>
      <c r="G450" s="11"/>
      <c r="H450" s="11"/>
      <c r="I450" s="11"/>
      <c r="J450" s="249"/>
      <c r="K450" s="72"/>
      <c r="L450" s="73"/>
      <c r="M450" s="73"/>
      <c r="N450" s="74"/>
      <c r="O450" s="75"/>
      <c r="P450" s="73"/>
      <c r="Q450" s="76"/>
      <c r="R450" s="76"/>
      <c r="S450" s="76"/>
      <c r="T450" s="76"/>
      <c r="U450" s="76"/>
      <c r="V450" s="76"/>
      <c r="W450" s="76"/>
      <c r="X450" s="76"/>
      <c r="Y450" s="76"/>
      <c r="Z450" s="77"/>
      <c r="AA450" s="77"/>
      <c r="AB450" s="77"/>
      <c r="AC450" s="77"/>
      <c r="AD450" s="77"/>
      <c r="AE450" s="77"/>
      <c r="AF450" s="77"/>
      <c r="AG450" s="77"/>
      <c r="AH450" s="78"/>
      <c r="AI450" s="78"/>
      <c r="AJ450" s="78"/>
      <c r="AK450" s="78"/>
      <c r="AL450" s="78"/>
      <c r="AM450" s="78"/>
      <c r="AN450" s="76"/>
      <c r="AO450" s="76"/>
      <c r="AP450" s="76"/>
      <c r="AQ450" s="76"/>
      <c r="AR450" s="76"/>
      <c r="AS450" s="76"/>
      <c r="AT450" s="76"/>
      <c r="AU450" s="76"/>
      <c r="AV450" s="76"/>
      <c r="AW450" s="79"/>
      <c r="AX450" s="79"/>
      <c r="AY450" s="79"/>
      <c r="AZ450" s="79"/>
      <c r="BA450" s="79"/>
      <c r="BB450" s="11"/>
      <c r="BC450" s="11"/>
      <c r="BD450" s="11"/>
      <c r="BE450" s="73"/>
      <c r="BF450" s="73"/>
      <c r="BG450" s="73"/>
      <c r="BH450" s="77"/>
      <c r="BI450" s="77"/>
      <c r="BJ450" s="77"/>
      <c r="BK450" s="77"/>
      <c r="BL450" s="77"/>
      <c r="BM450" s="77"/>
      <c r="BN450" s="158"/>
      <c r="BO450" s="158"/>
    </row>
    <row r="451" spans="1:67" ht="15" x14ac:dyDescent="0.25">
      <c r="A451" s="71"/>
      <c r="B451" s="11"/>
      <c r="C451" s="11"/>
      <c r="D451" s="11"/>
      <c r="E451" s="11"/>
      <c r="F451" s="11"/>
      <c r="G451" s="11"/>
      <c r="H451" s="11"/>
      <c r="I451" s="11"/>
      <c r="J451" s="249"/>
      <c r="K451" s="72"/>
      <c r="L451" s="73"/>
      <c r="M451" s="73"/>
      <c r="N451" s="74"/>
      <c r="O451" s="75"/>
      <c r="P451" s="73"/>
      <c r="Q451" s="76"/>
      <c r="R451" s="76"/>
      <c r="S451" s="76"/>
      <c r="T451" s="76"/>
      <c r="U451" s="76"/>
      <c r="V451" s="76"/>
      <c r="W451" s="76"/>
      <c r="X451" s="76"/>
      <c r="Y451" s="76"/>
      <c r="Z451" s="77"/>
      <c r="AA451" s="77"/>
      <c r="AB451" s="77"/>
      <c r="AC451" s="77"/>
      <c r="AD451" s="77"/>
      <c r="AE451" s="77"/>
      <c r="AF451" s="77"/>
      <c r="AG451" s="77"/>
      <c r="AH451" s="78"/>
      <c r="AI451" s="78"/>
      <c r="AJ451" s="78"/>
      <c r="AK451" s="78"/>
      <c r="AL451" s="78"/>
      <c r="AM451" s="78"/>
      <c r="AN451" s="76"/>
      <c r="AO451" s="76"/>
      <c r="AP451" s="76"/>
      <c r="AQ451" s="76"/>
      <c r="AR451" s="76"/>
      <c r="AS451" s="76"/>
      <c r="AT451" s="76"/>
      <c r="AU451" s="76"/>
      <c r="AV451" s="76"/>
      <c r="AW451" s="79"/>
      <c r="AX451" s="79"/>
      <c r="AY451" s="79"/>
      <c r="AZ451" s="79"/>
      <c r="BA451" s="79"/>
      <c r="BB451" s="11"/>
      <c r="BC451" s="11"/>
      <c r="BD451" s="11"/>
      <c r="BE451" s="73"/>
      <c r="BF451" s="73"/>
      <c r="BG451" s="73"/>
      <c r="BH451" s="77"/>
      <c r="BI451" s="77"/>
      <c r="BJ451" s="77"/>
      <c r="BK451" s="77"/>
      <c r="BL451" s="77"/>
      <c r="BM451" s="77"/>
      <c r="BN451" s="158"/>
      <c r="BO451" s="158"/>
    </row>
    <row r="452" spans="1:67" ht="15" x14ac:dyDescent="0.25">
      <c r="A452" s="71"/>
      <c r="B452" s="11"/>
      <c r="C452" s="11"/>
      <c r="D452" s="11"/>
      <c r="E452" s="11"/>
      <c r="F452" s="11"/>
      <c r="G452" s="11"/>
      <c r="H452" s="11"/>
      <c r="I452" s="11"/>
      <c r="J452" s="249"/>
      <c r="K452" s="72"/>
      <c r="L452" s="73"/>
      <c r="M452" s="73"/>
      <c r="N452" s="74"/>
      <c r="O452" s="75"/>
      <c r="P452" s="73"/>
      <c r="Q452" s="76"/>
      <c r="R452" s="76"/>
      <c r="S452" s="76"/>
      <c r="T452" s="76"/>
      <c r="U452" s="76"/>
      <c r="V452" s="76"/>
      <c r="W452" s="76"/>
      <c r="X452" s="76"/>
      <c r="Y452" s="76"/>
      <c r="Z452" s="77"/>
      <c r="AA452" s="77"/>
      <c r="AB452" s="77"/>
      <c r="AC452" s="77"/>
      <c r="AD452" s="77"/>
      <c r="AE452" s="77"/>
      <c r="AF452" s="77"/>
      <c r="AG452" s="77"/>
      <c r="AH452" s="78"/>
      <c r="AI452" s="78"/>
      <c r="AJ452" s="78"/>
      <c r="AK452" s="78"/>
      <c r="AL452" s="78"/>
      <c r="AM452" s="78"/>
      <c r="AN452" s="76"/>
      <c r="AO452" s="76"/>
      <c r="AP452" s="76"/>
      <c r="AQ452" s="76"/>
      <c r="AR452" s="76"/>
      <c r="AS452" s="76"/>
      <c r="AT452" s="76"/>
      <c r="AU452" s="76"/>
      <c r="AV452" s="76"/>
      <c r="AW452" s="79"/>
      <c r="AX452" s="79"/>
      <c r="AY452" s="79"/>
      <c r="AZ452" s="79"/>
      <c r="BA452" s="79"/>
      <c r="BB452" s="11"/>
      <c r="BC452" s="11"/>
      <c r="BD452" s="11"/>
      <c r="BE452" s="73"/>
      <c r="BF452" s="73"/>
      <c r="BG452" s="73"/>
      <c r="BH452" s="77"/>
      <c r="BI452" s="77"/>
      <c r="BJ452" s="77"/>
      <c r="BK452" s="77"/>
      <c r="BL452" s="77"/>
      <c r="BM452" s="77"/>
      <c r="BN452" s="158"/>
      <c r="BO452" s="158"/>
    </row>
    <row r="453" spans="1:67" ht="15" x14ac:dyDescent="0.25">
      <c r="A453" s="71"/>
      <c r="B453" s="11"/>
      <c r="C453" s="11"/>
      <c r="D453" s="11"/>
      <c r="E453" s="11"/>
      <c r="F453" s="11"/>
      <c r="G453" s="11"/>
      <c r="H453" s="11"/>
      <c r="I453" s="11"/>
      <c r="J453" s="249"/>
      <c r="K453" s="72"/>
      <c r="L453" s="73"/>
      <c r="M453" s="73"/>
      <c r="N453" s="74"/>
      <c r="O453" s="75"/>
      <c r="P453" s="73"/>
      <c r="Q453" s="76"/>
      <c r="R453" s="76"/>
      <c r="S453" s="76"/>
      <c r="T453" s="76"/>
      <c r="U453" s="76"/>
      <c r="V453" s="76"/>
      <c r="W453" s="76"/>
      <c r="X453" s="76"/>
      <c r="Y453" s="76"/>
      <c r="Z453" s="77"/>
      <c r="AA453" s="77"/>
      <c r="AB453" s="77"/>
      <c r="AC453" s="77"/>
      <c r="AD453" s="77"/>
      <c r="AE453" s="77"/>
      <c r="AF453" s="77"/>
      <c r="AG453" s="77"/>
      <c r="AH453" s="78"/>
      <c r="AI453" s="78"/>
      <c r="AJ453" s="78"/>
      <c r="AK453" s="78"/>
      <c r="AL453" s="78"/>
      <c r="AM453" s="78"/>
      <c r="AN453" s="76"/>
      <c r="AO453" s="76"/>
      <c r="AP453" s="76"/>
      <c r="AQ453" s="76"/>
      <c r="AR453" s="76"/>
      <c r="AS453" s="76"/>
      <c r="AT453" s="76"/>
      <c r="AU453" s="76"/>
      <c r="AV453" s="76"/>
      <c r="AW453" s="79"/>
      <c r="AX453" s="79"/>
      <c r="AY453" s="79"/>
      <c r="AZ453" s="79"/>
      <c r="BA453" s="79"/>
      <c r="BB453" s="11"/>
      <c r="BC453" s="11"/>
      <c r="BD453" s="11"/>
      <c r="BE453" s="73"/>
      <c r="BF453" s="73"/>
      <c r="BG453" s="73"/>
      <c r="BH453" s="77"/>
      <c r="BI453" s="77"/>
      <c r="BJ453" s="77"/>
      <c r="BK453" s="77"/>
      <c r="BL453" s="77"/>
      <c r="BM453" s="77"/>
      <c r="BN453" s="158"/>
      <c r="BO453" s="158"/>
    </row>
    <row r="454" spans="1:67" ht="15" x14ac:dyDescent="0.25">
      <c r="A454" s="71"/>
      <c r="B454" s="11"/>
      <c r="C454" s="11"/>
      <c r="D454" s="11"/>
      <c r="E454" s="11"/>
      <c r="F454" s="11"/>
      <c r="G454" s="11"/>
      <c r="H454" s="11"/>
      <c r="I454" s="11"/>
      <c r="J454" s="249"/>
      <c r="K454" s="72"/>
      <c r="L454" s="73"/>
      <c r="M454" s="73"/>
      <c r="N454" s="74"/>
      <c r="O454" s="75"/>
      <c r="P454" s="73"/>
      <c r="Q454" s="76"/>
      <c r="R454" s="76"/>
      <c r="S454" s="76"/>
      <c r="T454" s="76"/>
      <c r="U454" s="76"/>
      <c r="V454" s="76"/>
      <c r="W454" s="76"/>
      <c r="X454" s="76"/>
      <c r="Y454" s="76"/>
      <c r="Z454" s="77"/>
      <c r="AA454" s="77"/>
      <c r="AB454" s="77"/>
      <c r="AC454" s="77"/>
      <c r="AD454" s="77"/>
      <c r="AE454" s="77"/>
      <c r="AF454" s="77"/>
      <c r="AG454" s="77"/>
      <c r="AH454" s="78"/>
      <c r="AI454" s="78"/>
      <c r="AJ454" s="78"/>
      <c r="AK454" s="78"/>
      <c r="AL454" s="78"/>
      <c r="AM454" s="78"/>
      <c r="AN454" s="76"/>
      <c r="AO454" s="76"/>
      <c r="AP454" s="76"/>
      <c r="AQ454" s="76"/>
      <c r="AR454" s="76"/>
      <c r="AS454" s="76"/>
      <c r="AT454" s="76"/>
      <c r="AU454" s="76"/>
      <c r="AV454" s="76"/>
      <c r="AW454" s="79"/>
      <c r="AX454" s="79"/>
      <c r="AY454" s="79"/>
      <c r="AZ454" s="79"/>
      <c r="BA454" s="79"/>
      <c r="BB454" s="11"/>
      <c r="BC454" s="11"/>
      <c r="BD454" s="11"/>
      <c r="BE454" s="73"/>
      <c r="BF454" s="73"/>
      <c r="BG454" s="73"/>
      <c r="BH454" s="77"/>
      <c r="BI454" s="77"/>
      <c r="BJ454" s="77"/>
      <c r="BK454" s="77"/>
      <c r="BL454" s="77"/>
      <c r="BM454" s="77"/>
      <c r="BN454" s="158"/>
      <c r="BO454" s="158"/>
    </row>
    <row r="455" spans="1:67" ht="15" x14ac:dyDescent="0.25">
      <c r="A455" s="71"/>
      <c r="B455" s="11"/>
      <c r="C455" s="11"/>
      <c r="D455" s="11"/>
      <c r="E455" s="11"/>
      <c r="F455" s="11"/>
      <c r="G455" s="11"/>
      <c r="H455" s="11"/>
      <c r="I455" s="11"/>
      <c r="J455" s="249"/>
      <c r="K455" s="72"/>
      <c r="L455" s="73"/>
      <c r="M455" s="73"/>
      <c r="N455" s="74"/>
      <c r="O455" s="75"/>
      <c r="P455" s="73"/>
      <c r="Q455" s="76"/>
      <c r="R455" s="76"/>
      <c r="S455" s="76"/>
      <c r="T455" s="76"/>
      <c r="U455" s="76"/>
      <c r="V455" s="76"/>
      <c r="W455" s="76"/>
      <c r="X455" s="76"/>
      <c r="Y455" s="76"/>
      <c r="Z455" s="77"/>
      <c r="AA455" s="77"/>
      <c r="AB455" s="77"/>
      <c r="AC455" s="77"/>
      <c r="AD455" s="77"/>
      <c r="AE455" s="77"/>
      <c r="AF455" s="77"/>
      <c r="AG455" s="77"/>
      <c r="AH455" s="78"/>
      <c r="AI455" s="78"/>
      <c r="AJ455" s="78"/>
      <c r="AK455" s="78"/>
      <c r="AL455" s="78"/>
      <c r="AM455" s="78"/>
      <c r="AN455" s="76"/>
      <c r="AO455" s="76"/>
      <c r="AP455" s="76"/>
      <c r="AQ455" s="76"/>
      <c r="AR455" s="76"/>
      <c r="AS455" s="76"/>
      <c r="AT455" s="76"/>
      <c r="AU455" s="76"/>
      <c r="AV455" s="76"/>
      <c r="AW455" s="79"/>
      <c r="AX455" s="79"/>
      <c r="AY455" s="79"/>
      <c r="AZ455" s="79"/>
      <c r="BA455" s="79"/>
      <c r="BB455" s="11"/>
      <c r="BC455" s="11"/>
      <c r="BD455" s="11"/>
      <c r="BE455" s="73"/>
      <c r="BF455" s="73"/>
      <c r="BG455" s="73"/>
      <c r="BH455" s="77"/>
      <c r="BI455" s="77"/>
      <c r="BJ455" s="77"/>
      <c r="BK455" s="77"/>
      <c r="BL455" s="77"/>
      <c r="BM455" s="77"/>
      <c r="BN455" s="158"/>
      <c r="BO455" s="158"/>
    </row>
    <row r="456" spans="1:67" ht="15" x14ac:dyDescent="0.25">
      <c r="A456" s="71"/>
      <c r="B456" s="11"/>
      <c r="C456" s="11"/>
      <c r="D456" s="11"/>
      <c r="E456" s="11"/>
      <c r="F456" s="11"/>
      <c r="G456" s="11"/>
      <c r="H456" s="11"/>
      <c r="I456" s="11"/>
      <c r="J456" s="249"/>
      <c r="K456" s="72"/>
      <c r="L456" s="73"/>
      <c r="M456" s="73"/>
      <c r="N456" s="74"/>
      <c r="O456" s="75"/>
      <c r="P456" s="73"/>
      <c r="Q456" s="76"/>
      <c r="R456" s="76"/>
      <c r="S456" s="76"/>
      <c r="T456" s="76"/>
      <c r="U456" s="76"/>
      <c r="V456" s="76"/>
      <c r="W456" s="76"/>
      <c r="X456" s="76"/>
      <c r="Y456" s="76"/>
      <c r="Z456" s="77"/>
      <c r="AA456" s="77"/>
      <c r="AB456" s="77"/>
      <c r="AC456" s="77"/>
      <c r="AD456" s="77"/>
      <c r="AE456" s="77"/>
      <c r="AF456" s="77"/>
      <c r="AG456" s="77"/>
      <c r="AH456" s="78"/>
      <c r="AI456" s="78"/>
      <c r="AJ456" s="78"/>
      <c r="AK456" s="78"/>
      <c r="AL456" s="78"/>
      <c r="AM456" s="78"/>
      <c r="AN456" s="76"/>
      <c r="AO456" s="76"/>
      <c r="AP456" s="76"/>
      <c r="AQ456" s="76"/>
      <c r="AR456" s="76"/>
      <c r="AS456" s="76"/>
      <c r="AT456" s="76"/>
      <c r="AU456" s="76"/>
      <c r="AV456" s="76"/>
      <c r="AW456" s="79"/>
      <c r="AX456" s="79"/>
      <c r="AY456" s="79"/>
      <c r="AZ456" s="79"/>
      <c r="BA456" s="79"/>
      <c r="BB456" s="11"/>
      <c r="BC456" s="11"/>
      <c r="BD456" s="11"/>
      <c r="BE456" s="73"/>
      <c r="BF456" s="73"/>
      <c r="BG456" s="73"/>
      <c r="BH456" s="77"/>
      <c r="BI456" s="77"/>
      <c r="BJ456" s="77"/>
      <c r="BK456" s="77"/>
      <c r="BL456" s="77"/>
      <c r="BM456" s="77"/>
      <c r="BN456" s="158"/>
      <c r="BO456" s="158"/>
    </row>
    <row r="457" spans="1:67" ht="15" x14ac:dyDescent="0.25">
      <c r="A457" s="71"/>
      <c r="B457" s="11"/>
      <c r="C457" s="11"/>
      <c r="D457" s="11"/>
      <c r="E457" s="11"/>
      <c r="F457" s="11"/>
      <c r="G457" s="11"/>
      <c r="H457" s="11"/>
      <c r="I457" s="11"/>
      <c r="J457" s="249"/>
      <c r="K457" s="72"/>
      <c r="L457" s="73"/>
      <c r="M457" s="73"/>
      <c r="N457" s="74"/>
      <c r="O457" s="75"/>
      <c r="P457" s="73"/>
      <c r="Q457" s="76"/>
      <c r="R457" s="76"/>
      <c r="S457" s="76"/>
      <c r="T457" s="76"/>
      <c r="U457" s="76"/>
      <c r="V457" s="76"/>
      <c r="W457" s="76"/>
      <c r="X457" s="76"/>
      <c r="Y457" s="76"/>
      <c r="Z457" s="77"/>
      <c r="AA457" s="77"/>
      <c r="AB457" s="77"/>
      <c r="AC457" s="77"/>
      <c r="AD457" s="77"/>
      <c r="AE457" s="77"/>
      <c r="AF457" s="77"/>
      <c r="AG457" s="77"/>
      <c r="AH457" s="78"/>
      <c r="AI457" s="78"/>
      <c r="AJ457" s="78"/>
      <c r="AK457" s="78"/>
      <c r="AL457" s="78"/>
      <c r="AM457" s="78"/>
      <c r="AN457" s="76"/>
      <c r="AO457" s="76"/>
      <c r="AP457" s="76"/>
      <c r="AQ457" s="76"/>
      <c r="AR457" s="76"/>
      <c r="AS457" s="76"/>
      <c r="AT457" s="76"/>
      <c r="AU457" s="76"/>
      <c r="AV457" s="76"/>
      <c r="AW457" s="79"/>
      <c r="AX457" s="79"/>
      <c r="AY457" s="79"/>
      <c r="AZ457" s="79"/>
      <c r="BA457" s="79"/>
      <c r="BB457" s="11"/>
      <c r="BC457" s="11"/>
      <c r="BD457" s="11"/>
      <c r="BE457" s="73"/>
      <c r="BF457" s="73"/>
      <c r="BG457" s="73"/>
      <c r="BH457" s="77"/>
      <c r="BI457" s="77"/>
      <c r="BJ457" s="77"/>
      <c r="BK457" s="77"/>
      <c r="BL457" s="77"/>
      <c r="BM457" s="77"/>
      <c r="BN457" s="158"/>
      <c r="BO457" s="158"/>
    </row>
    <row r="458" spans="1:67" ht="15" x14ac:dyDescent="0.25">
      <c r="A458" s="71"/>
      <c r="B458" s="11"/>
      <c r="C458" s="11"/>
      <c r="D458" s="11"/>
      <c r="E458" s="11"/>
      <c r="F458" s="11"/>
      <c r="G458" s="11"/>
      <c r="H458" s="11"/>
      <c r="I458" s="11"/>
      <c r="J458" s="249"/>
      <c r="K458" s="72"/>
      <c r="L458" s="73"/>
      <c r="M458" s="73"/>
      <c r="N458" s="74"/>
      <c r="O458" s="75"/>
      <c r="P458" s="73"/>
      <c r="Q458" s="76"/>
      <c r="R458" s="76"/>
      <c r="S458" s="76"/>
      <c r="T458" s="76"/>
      <c r="U458" s="76"/>
      <c r="V458" s="76"/>
      <c r="W458" s="76"/>
      <c r="X458" s="76"/>
      <c r="Y458" s="76"/>
      <c r="Z458" s="77"/>
      <c r="AA458" s="77"/>
      <c r="AB458" s="77"/>
      <c r="AC458" s="77"/>
      <c r="AD458" s="77"/>
      <c r="AE458" s="77"/>
      <c r="AF458" s="77"/>
      <c r="AG458" s="77"/>
      <c r="AH458" s="78"/>
      <c r="AI458" s="78"/>
      <c r="AJ458" s="78"/>
      <c r="AK458" s="78"/>
      <c r="AL458" s="78"/>
      <c r="AM458" s="78"/>
      <c r="AN458" s="76"/>
      <c r="AO458" s="76"/>
      <c r="AP458" s="76"/>
      <c r="AQ458" s="76"/>
      <c r="AR458" s="76"/>
      <c r="AS458" s="76"/>
      <c r="AT458" s="76"/>
      <c r="AU458" s="76"/>
      <c r="AV458" s="76"/>
      <c r="AW458" s="79"/>
      <c r="AX458" s="79"/>
      <c r="AY458" s="79"/>
      <c r="AZ458" s="79"/>
      <c r="BA458" s="79"/>
      <c r="BB458" s="11"/>
      <c r="BC458" s="11"/>
      <c r="BD458" s="11"/>
      <c r="BE458" s="73"/>
      <c r="BF458" s="73"/>
      <c r="BG458" s="73"/>
      <c r="BH458" s="77"/>
      <c r="BI458" s="77"/>
      <c r="BJ458" s="77"/>
      <c r="BK458" s="77"/>
      <c r="BL458" s="77"/>
      <c r="BM458" s="77"/>
      <c r="BN458" s="158"/>
      <c r="BO458" s="158"/>
    </row>
    <row r="459" spans="1:67" ht="15" x14ac:dyDescent="0.25">
      <c r="A459" s="71"/>
      <c r="B459" s="11"/>
      <c r="C459" s="11"/>
      <c r="D459" s="11"/>
      <c r="E459" s="11"/>
      <c r="F459" s="11"/>
      <c r="G459" s="11"/>
      <c r="H459" s="11"/>
      <c r="I459" s="11"/>
      <c r="J459" s="249"/>
      <c r="K459" s="72"/>
      <c r="L459" s="73"/>
      <c r="M459" s="73"/>
      <c r="N459" s="74"/>
      <c r="O459" s="75"/>
      <c r="P459" s="73"/>
      <c r="Q459" s="76"/>
      <c r="R459" s="76"/>
      <c r="S459" s="76"/>
      <c r="T459" s="76"/>
      <c r="U459" s="76"/>
      <c r="V459" s="76"/>
      <c r="W459" s="76"/>
      <c r="X459" s="76"/>
      <c r="Y459" s="76"/>
      <c r="Z459" s="77"/>
      <c r="AA459" s="77"/>
      <c r="AB459" s="77"/>
      <c r="AC459" s="77"/>
      <c r="AD459" s="77"/>
      <c r="AE459" s="77"/>
      <c r="AF459" s="77"/>
      <c r="AG459" s="77"/>
      <c r="AH459" s="78"/>
      <c r="AI459" s="78"/>
      <c r="AJ459" s="78"/>
      <c r="AK459" s="78"/>
      <c r="AL459" s="78"/>
      <c r="AM459" s="78"/>
      <c r="AN459" s="76"/>
      <c r="AO459" s="76"/>
      <c r="AP459" s="76"/>
      <c r="AQ459" s="76"/>
      <c r="AR459" s="76"/>
      <c r="AS459" s="76"/>
      <c r="AT459" s="76"/>
      <c r="AU459" s="76"/>
      <c r="AV459" s="76"/>
      <c r="AW459" s="79"/>
      <c r="AX459" s="79"/>
      <c r="AY459" s="79"/>
      <c r="AZ459" s="79"/>
      <c r="BA459" s="79"/>
      <c r="BB459" s="11"/>
      <c r="BC459" s="11"/>
      <c r="BD459" s="11"/>
      <c r="BE459" s="73"/>
      <c r="BF459" s="73"/>
      <c r="BG459" s="73"/>
      <c r="BH459" s="77"/>
      <c r="BI459" s="77"/>
      <c r="BJ459" s="77"/>
      <c r="BK459" s="77"/>
      <c r="BL459" s="77"/>
      <c r="BM459" s="77"/>
      <c r="BN459" s="158"/>
      <c r="BO459" s="158"/>
    </row>
    <row r="460" spans="1:67" ht="15" x14ac:dyDescent="0.25">
      <c r="A460" s="71"/>
      <c r="B460" s="11"/>
      <c r="C460" s="11"/>
      <c r="D460" s="11"/>
      <c r="E460" s="11"/>
      <c r="F460" s="11"/>
      <c r="G460" s="11"/>
      <c r="H460" s="11"/>
      <c r="I460" s="11"/>
      <c r="J460" s="249"/>
      <c r="K460" s="72"/>
      <c r="L460" s="73"/>
      <c r="M460" s="73"/>
      <c r="N460" s="74"/>
      <c r="O460" s="75"/>
      <c r="P460" s="73"/>
      <c r="Q460" s="76"/>
      <c r="R460" s="76"/>
      <c r="S460" s="76"/>
      <c r="T460" s="76"/>
      <c r="U460" s="76"/>
      <c r="V460" s="76"/>
      <c r="W460" s="76"/>
      <c r="X460" s="76"/>
      <c r="Y460" s="76"/>
      <c r="Z460" s="77"/>
      <c r="AA460" s="77"/>
      <c r="AB460" s="77"/>
      <c r="AC460" s="77"/>
      <c r="AD460" s="77"/>
      <c r="AE460" s="77"/>
      <c r="AF460" s="77"/>
      <c r="AG460" s="77"/>
      <c r="AH460" s="78"/>
      <c r="AI460" s="78"/>
      <c r="AJ460" s="78"/>
      <c r="AK460" s="78"/>
      <c r="AL460" s="78"/>
      <c r="AM460" s="78"/>
      <c r="AN460" s="76"/>
      <c r="AO460" s="76"/>
      <c r="AP460" s="76"/>
      <c r="AQ460" s="76"/>
      <c r="AR460" s="76"/>
      <c r="AS460" s="76"/>
      <c r="AT460" s="76"/>
      <c r="AU460" s="76"/>
      <c r="AV460" s="76"/>
      <c r="AW460" s="79"/>
      <c r="AX460" s="79"/>
      <c r="AY460" s="79"/>
      <c r="AZ460" s="79"/>
      <c r="BA460" s="79"/>
      <c r="BB460" s="11"/>
      <c r="BC460" s="11"/>
      <c r="BD460" s="11"/>
      <c r="BE460" s="73"/>
      <c r="BF460" s="73"/>
      <c r="BG460" s="73"/>
      <c r="BH460" s="77"/>
      <c r="BI460" s="77"/>
      <c r="BJ460" s="77"/>
      <c r="BK460" s="77"/>
      <c r="BL460" s="77"/>
      <c r="BM460" s="77"/>
      <c r="BN460" s="158"/>
      <c r="BO460" s="158"/>
    </row>
    <row r="461" spans="1:67" ht="15" x14ac:dyDescent="0.25">
      <c r="A461" s="71"/>
      <c r="B461" s="11"/>
      <c r="C461" s="11"/>
      <c r="D461" s="11"/>
      <c r="E461" s="11"/>
      <c r="F461" s="11"/>
      <c r="G461" s="11"/>
      <c r="H461" s="11"/>
      <c r="I461" s="11"/>
      <c r="J461" s="249"/>
      <c r="K461" s="72"/>
      <c r="L461" s="73"/>
      <c r="M461" s="73"/>
      <c r="N461" s="74"/>
      <c r="O461" s="75"/>
      <c r="P461" s="73"/>
      <c r="Q461" s="76"/>
      <c r="R461" s="76"/>
      <c r="S461" s="76"/>
      <c r="T461" s="76"/>
      <c r="U461" s="76"/>
      <c r="V461" s="76"/>
      <c r="W461" s="76"/>
      <c r="X461" s="76"/>
      <c r="Y461" s="76"/>
      <c r="Z461" s="77"/>
      <c r="AA461" s="77"/>
      <c r="AB461" s="77"/>
      <c r="AC461" s="77"/>
      <c r="AD461" s="77"/>
      <c r="AE461" s="77"/>
      <c r="AF461" s="77"/>
      <c r="AG461" s="77"/>
      <c r="AH461" s="78"/>
      <c r="AI461" s="78"/>
      <c r="AJ461" s="78"/>
      <c r="AK461" s="78"/>
      <c r="AL461" s="78"/>
      <c r="AM461" s="78"/>
      <c r="AN461" s="76"/>
      <c r="AO461" s="76"/>
      <c r="AP461" s="76"/>
      <c r="AQ461" s="76"/>
      <c r="AR461" s="76"/>
      <c r="AS461" s="76"/>
      <c r="AT461" s="76"/>
      <c r="AU461" s="76"/>
      <c r="AV461" s="76"/>
      <c r="AW461" s="79"/>
      <c r="AX461" s="79"/>
      <c r="AY461" s="79"/>
      <c r="AZ461" s="79"/>
      <c r="BA461" s="79"/>
      <c r="BB461" s="11"/>
      <c r="BC461" s="11"/>
      <c r="BD461" s="11"/>
      <c r="BE461" s="73"/>
      <c r="BF461" s="73"/>
      <c r="BG461" s="73"/>
      <c r="BH461" s="77"/>
      <c r="BI461" s="77"/>
      <c r="BJ461" s="77"/>
      <c r="BK461" s="77"/>
      <c r="BL461" s="77"/>
      <c r="BM461" s="77"/>
      <c r="BN461" s="158"/>
      <c r="BO461" s="158"/>
    </row>
    <row r="462" spans="1:67" ht="15" x14ac:dyDescent="0.25">
      <c r="A462" s="71"/>
      <c r="B462" s="11"/>
      <c r="C462" s="11"/>
      <c r="D462" s="11"/>
      <c r="E462" s="11"/>
      <c r="F462" s="11"/>
      <c r="G462" s="11"/>
      <c r="H462" s="11"/>
      <c r="I462" s="11"/>
      <c r="J462" s="249"/>
      <c r="K462" s="72"/>
      <c r="L462" s="73"/>
      <c r="M462" s="73"/>
      <c r="N462" s="74"/>
      <c r="O462" s="75"/>
      <c r="P462" s="73"/>
      <c r="Q462" s="76"/>
      <c r="R462" s="76"/>
      <c r="S462" s="76"/>
      <c r="T462" s="76"/>
      <c r="U462" s="76"/>
      <c r="V462" s="76"/>
      <c r="W462" s="76"/>
      <c r="X462" s="76"/>
      <c r="Y462" s="76"/>
      <c r="Z462" s="77"/>
      <c r="AA462" s="77"/>
      <c r="AB462" s="77"/>
      <c r="AC462" s="77"/>
      <c r="AD462" s="77"/>
      <c r="AE462" s="77"/>
      <c r="AF462" s="77"/>
      <c r="AG462" s="77"/>
      <c r="AH462" s="78"/>
      <c r="AI462" s="78"/>
      <c r="AJ462" s="78"/>
      <c r="AK462" s="78"/>
      <c r="AL462" s="78"/>
      <c r="AM462" s="78"/>
      <c r="AN462" s="76"/>
      <c r="AO462" s="76"/>
      <c r="AP462" s="76"/>
      <c r="AQ462" s="76"/>
      <c r="AR462" s="76"/>
      <c r="AS462" s="76"/>
      <c r="AT462" s="76"/>
      <c r="AU462" s="76"/>
      <c r="AV462" s="76"/>
      <c r="AW462" s="79"/>
      <c r="AX462" s="79"/>
      <c r="AY462" s="79"/>
      <c r="AZ462" s="79"/>
      <c r="BA462" s="79"/>
      <c r="BB462" s="11"/>
      <c r="BC462" s="11"/>
      <c r="BD462" s="11"/>
      <c r="BE462" s="73"/>
      <c r="BF462" s="73"/>
      <c r="BG462" s="73"/>
      <c r="BH462" s="77"/>
      <c r="BI462" s="77"/>
      <c r="BJ462" s="77"/>
      <c r="BK462" s="77"/>
      <c r="BL462" s="77"/>
      <c r="BM462" s="77"/>
      <c r="BN462" s="158"/>
      <c r="BO462" s="158"/>
    </row>
    <row r="463" spans="1:67" ht="15" x14ac:dyDescent="0.25">
      <c r="A463" s="71"/>
      <c r="B463" s="11"/>
      <c r="C463" s="11"/>
      <c r="D463" s="11"/>
      <c r="E463" s="11"/>
      <c r="F463" s="11"/>
      <c r="G463" s="11"/>
      <c r="H463" s="11"/>
      <c r="I463" s="11"/>
      <c r="J463" s="249"/>
      <c r="K463" s="72"/>
      <c r="L463" s="73"/>
      <c r="M463" s="73"/>
      <c r="N463" s="74"/>
      <c r="O463" s="75"/>
      <c r="P463" s="73"/>
      <c r="Q463" s="76"/>
      <c r="R463" s="76"/>
      <c r="S463" s="76"/>
      <c r="T463" s="76"/>
      <c r="U463" s="76"/>
      <c r="V463" s="76"/>
      <c r="W463" s="76"/>
      <c r="X463" s="76"/>
      <c r="Y463" s="76"/>
      <c r="Z463" s="77"/>
      <c r="AA463" s="77"/>
      <c r="AB463" s="77"/>
      <c r="AC463" s="77"/>
      <c r="AD463" s="77"/>
      <c r="AE463" s="77"/>
      <c r="AF463" s="77"/>
      <c r="AG463" s="77"/>
      <c r="AH463" s="78"/>
      <c r="AI463" s="78"/>
      <c r="AJ463" s="78"/>
      <c r="AK463" s="78"/>
      <c r="AL463" s="78"/>
      <c r="AM463" s="78"/>
      <c r="AN463" s="76"/>
      <c r="AO463" s="76"/>
      <c r="AP463" s="76"/>
      <c r="AQ463" s="76"/>
      <c r="AR463" s="76"/>
      <c r="AS463" s="76"/>
      <c r="AT463" s="76"/>
      <c r="AU463" s="76"/>
      <c r="AV463" s="76"/>
      <c r="AW463" s="79"/>
      <c r="AX463" s="79"/>
      <c r="AY463" s="79"/>
      <c r="AZ463" s="79"/>
      <c r="BA463" s="79"/>
      <c r="BB463" s="11"/>
      <c r="BC463" s="11"/>
      <c r="BD463" s="11"/>
      <c r="BE463" s="73"/>
      <c r="BF463" s="73"/>
      <c r="BG463" s="73"/>
      <c r="BH463" s="77"/>
      <c r="BI463" s="77"/>
      <c r="BJ463" s="77"/>
      <c r="BK463" s="77"/>
      <c r="BL463" s="77"/>
      <c r="BM463" s="77"/>
      <c r="BN463" s="158"/>
      <c r="BO463" s="158"/>
    </row>
    <row r="464" spans="1:67" ht="15" x14ac:dyDescent="0.25">
      <c r="A464" s="71"/>
      <c r="B464" s="11"/>
      <c r="C464" s="11"/>
      <c r="D464" s="11"/>
      <c r="E464" s="11"/>
      <c r="F464" s="11"/>
      <c r="G464" s="11"/>
      <c r="H464" s="11"/>
      <c r="I464" s="11"/>
      <c r="J464" s="249"/>
      <c r="K464" s="72"/>
      <c r="L464" s="73"/>
      <c r="M464" s="73"/>
      <c r="N464" s="74"/>
      <c r="O464" s="75"/>
      <c r="P464" s="73"/>
      <c r="Q464" s="76"/>
      <c r="R464" s="76"/>
      <c r="S464" s="76"/>
      <c r="T464" s="76"/>
      <c r="U464" s="76"/>
      <c r="V464" s="76"/>
      <c r="W464" s="76"/>
      <c r="X464" s="76"/>
      <c r="Y464" s="76"/>
      <c r="Z464" s="77"/>
      <c r="AA464" s="77"/>
      <c r="AB464" s="77"/>
      <c r="AC464" s="77"/>
      <c r="AD464" s="77"/>
      <c r="AE464" s="77"/>
      <c r="AF464" s="77"/>
      <c r="AG464" s="77"/>
      <c r="AH464" s="78"/>
      <c r="AI464" s="78"/>
      <c r="AJ464" s="78"/>
      <c r="AK464" s="78"/>
      <c r="AL464" s="78"/>
      <c r="AM464" s="78"/>
      <c r="AN464" s="76"/>
      <c r="AO464" s="76"/>
      <c r="AP464" s="76"/>
      <c r="AQ464" s="76"/>
      <c r="AR464" s="76"/>
      <c r="AS464" s="76"/>
      <c r="AT464" s="76"/>
      <c r="AU464" s="76"/>
      <c r="AV464" s="76"/>
      <c r="AW464" s="79"/>
      <c r="AX464" s="79"/>
      <c r="AY464" s="79"/>
      <c r="AZ464" s="79"/>
      <c r="BA464" s="79"/>
      <c r="BB464" s="11"/>
      <c r="BC464" s="11"/>
      <c r="BD464" s="11"/>
      <c r="BE464" s="73"/>
      <c r="BF464" s="73"/>
      <c r="BG464" s="73"/>
      <c r="BH464" s="77"/>
      <c r="BI464" s="77"/>
      <c r="BJ464" s="77"/>
      <c r="BK464" s="77"/>
      <c r="BL464" s="77"/>
      <c r="BM464" s="77"/>
      <c r="BN464" s="158"/>
      <c r="BO464" s="158"/>
    </row>
    <row r="465" spans="1:67" ht="15" x14ac:dyDescent="0.25">
      <c r="A465" s="71"/>
      <c r="B465" s="11"/>
      <c r="C465" s="11"/>
      <c r="D465" s="11"/>
      <c r="E465" s="11"/>
      <c r="F465" s="11"/>
      <c r="G465" s="11"/>
      <c r="H465" s="11"/>
      <c r="I465" s="11"/>
      <c r="J465" s="249"/>
      <c r="K465" s="72"/>
      <c r="L465" s="73"/>
      <c r="M465" s="73"/>
      <c r="N465" s="74"/>
      <c r="O465" s="75"/>
      <c r="P465" s="73"/>
      <c r="Q465" s="76"/>
      <c r="R465" s="76"/>
      <c r="S465" s="76"/>
      <c r="T465" s="76"/>
      <c r="U465" s="76"/>
      <c r="V465" s="76"/>
      <c r="W465" s="76"/>
      <c r="X465" s="76"/>
      <c r="Y465" s="76"/>
      <c r="Z465" s="77"/>
      <c r="AA465" s="77"/>
      <c r="AB465" s="77"/>
      <c r="AC465" s="77"/>
      <c r="AD465" s="77"/>
      <c r="AE465" s="77"/>
      <c r="AF465" s="77"/>
      <c r="AG465" s="77"/>
      <c r="AH465" s="78"/>
      <c r="AI465" s="78"/>
      <c r="AJ465" s="78"/>
      <c r="AK465" s="78"/>
      <c r="AL465" s="78"/>
      <c r="AM465" s="78"/>
      <c r="AN465" s="76"/>
      <c r="AO465" s="76"/>
      <c r="AP465" s="76"/>
      <c r="AQ465" s="76"/>
      <c r="AR465" s="76"/>
      <c r="AS465" s="76"/>
      <c r="AT465" s="76"/>
      <c r="AU465" s="76"/>
      <c r="AV465" s="76"/>
      <c r="AW465" s="79"/>
      <c r="AX465" s="79"/>
      <c r="AY465" s="79"/>
      <c r="AZ465" s="79"/>
      <c r="BA465" s="79"/>
      <c r="BB465" s="11"/>
      <c r="BC465" s="11"/>
      <c r="BD465" s="11"/>
      <c r="BE465" s="73"/>
      <c r="BF465" s="73"/>
      <c r="BG465" s="73"/>
      <c r="BH465" s="77"/>
      <c r="BI465" s="77"/>
      <c r="BJ465" s="77"/>
      <c r="BK465" s="77"/>
      <c r="BL465" s="77"/>
      <c r="BM465" s="77"/>
      <c r="BN465" s="158"/>
      <c r="BO465" s="158"/>
    </row>
    <row r="466" spans="1:67" ht="15" x14ac:dyDescent="0.25">
      <c r="A466" s="71"/>
      <c r="B466" s="11"/>
      <c r="C466" s="11"/>
      <c r="D466" s="11"/>
      <c r="E466" s="11"/>
      <c r="F466" s="11"/>
      <c r="G466" s="11"/>
      <c r="H466" s="11"/>
      <c r="I466" s="11"/>
      <c r="J466" s="249"/>
      <c r="K466" s="72"/>
      <c r="L466" s="73"/>
      <c r="M466" s="73"/>
      <c r="N466" s="74"/>
      <c r="O466" s="75"/>
      <c r="P466" s="73"/>
      <c r="Q466" s="76"/>
      <c r="R466" s="76"/>
      <c r="S466" s="76"/>
      <c r="T466" s="76"/>
      <c r="U466" s="76"/>
      <c r="V466" s="76"/>
      <c r="W466" s="76"/>
      <c r="X466" s="76"/>
      <c r="Y466" s="76"/>
      <c r="Z466" s="77"/>
      <c r="AA466" s="77"/>
      <c r="AB466" s="77"/>
      <c r="AC466" s="77"/>
      <c r="AD466" s="77"/>
      <c r="AE466" s="77"/>
      <c r="AF466" s="77"/>
      <c r="AG466" s="77"/>
      <c r="AH466" s="78"/>
      <c r="AI466" s="78"/>
      <c r="AJ466" s="78"/>
      <c r="AK466" s="78"/>
      <c r="AL466" s="78"/>
      <c r="AM466" s="78"/>
      <c r="AN466" s="76"/>
      <c r="AO466" s="76"/>
      <c r="AP466" s="76"/>
      <c r="AQ466" s="76"/>
      <c r="AR466" s="76"/>
      <c r="AS466" s="76"/>
      <c r="AT466" s="76"/>
      <c r="AU466" s="76"/>
      <c r="AV466" s="76"/>
      <c r="AW466" s="79"/>
      <c r="AX466" s="79"/>
      <c r="AY466" s="79"/>
      <c r="AZ466" s="79"/>
      <c r="BA466" s="79"/>
      <c r="BB466" s="11"/>
      <c r="BC466" s="11"/>
      <c r="BD466" s="11"/>
      <c r="BE466" s="73"/>
      <c r="BF466" s="73"/>
      <c r="BG466" s="73"/>
      <c r="BH466" s="77"/>
      <c r="BI466" s="77"/>
      <c r="BJ466" s="77"/>
      <c r="BK466" s="77"/>
      <c r="BL466" s="77"/>
      <c r="BM466" s="77"/>
      <c r="BN466" s="158"/>
      <c r="BO466" s="158"/>
    </row>
    <row r="467" spans="1:67" ht="15" x14ac:dyDescent="0.25">
      <c r="A467" s="71"/>
      <c r="B467" s="11"/>
      <c r="C467" s="11"/>
      <c r="D467" s="11"/>
      <c r="E467" s="11"/>
      <c r="F467" s="11"/>
      <c r="G467" s="11"/>
      <c r="H467" s="11"/>
      <c r="I467" s="11"/>
      <c r="J467" s="249"/>
      <c r="K467" s="72"/>
      <c r="L467" s="73"/>
      <c r="M467" s="73"/>
      <c r="N467" s="74"/>
      <c r="O467" s="75"/>
      <c r="P467" s="73"/>
      <c r="Q467" s="76"/>
      <c r="R467" s="76"/>
      <c r="S467" s="76"/>
      <c r="T467" s="76"/>
      <c r="U467" s="76"/>
      <c r="V467" s="76"/>
      <c r="W467" s="76"/>
      <c r="X467" s="76"/>
      <c r="Y467" s="76"/>
      <c r="Z467" s="77"/>
      <c r="AA467" s="77"/>
      <c r="AB467" s="77"/>
      <c r="AC467" s="77"/>
      <c r="AD467" s="77"/>
      <c r="AE467" s="77"/>
      <c r="AF467" s="77"/>
      <c r="AG467" s="77"/>
      <c r="AH467" s="78"/>
      <c r="AI467" s="78"/>
      <c r="AJ467" s="78"/>
      <c r="AK467" s="78"/>
      <c r="AL467" s="78"/>
      <c r="AM467" s="78"/>
      <c r="AN467" s="76"/>
      <c r="AO467" s="76"/>
      <c r="AP467" s="76"/>
      <c r="AQ467" s="76"/>
      <c r="AR467" s="76"/>
      <c r="AS467" s="76"/>
      <c r="AT467" s="76"/>
      <c r="AU467" s="76"/>
      <c r="AV467" s="76"/>
      <c r="AW467" s="79"/>
      <c r="AX467" s="79"/>
      <c r="AY467" s="79"/>
      <c r="AZ467" s="79"/>
      <c r="BA467" s="79"/>
      <c r="BB467" s="11"/>
      <c r="BC467" s="11"/>
      <c r="BD467" s="11"/>
      <c r="BE467" s="73"/>
      <c r="BF467" s="73"/>
      <c r="BG467" s="73"/>
      <c r="BH467" s="77"/>
      <c r="BI467" s="77"/>
      <c r="BJ467" s="77"/>
      <c r="BK467" s="77"/>
      <c r="BL467" s="77"/>
      <c r="BM467" s="77"/>
      <c r="BN467" s="158"/>
      <c r="BO467" s="158"/>
    </row>
    <row r="468" spans="1:67" ht="15" x14ac:dyDescent="0.25">
      <c r="A468" s="71"/>
      <c r="B468" s="11"/>
      <c r="C468" s="11"/>
      <c r="D468" s="11"/>
      <c r="E468" s="11"/>
      <c r="F468" s="11"/>
      <c r="G468" s="11"/>
      <c r="H468" s="11"/>
      <c r="I468" s="11"/>
      <c r="J468" s="249"/>
      <c r="K468" s="72"/>
      <c r="L468" s="73"/>
      <c r="M468" s="73"/>
      <c r="N468" s="74"/>
      <c r="O468" s="75"/>
      <c r="P468" s="73"/>
      <c r="Q468" s="76"/>
      <c r="R468" s="76"/>
      <c r="S468" s="76"/>
      <c r="T468" s="76"/>
      <c r="U468" s="76"/>
      <c r="V468" s="76"/>
      <c r="W468" s="76"/>
      <c r="X468" s="76"/>
      <c r="Y468" s="76"/>
      <c r="Z468" s="77"/>
      <c r="AA468" s="77"/>
      <c r="AB468" s="77"/>
      <c r="AC468" s="77"/>
      <c r="AD468" s="77"/>
      <c r="AE468" s="77"/>
      <c r="AF468" s="77"/>
      <c r="AG468" s="77"/>
      <c r="AH468" s="78"/>
      <c r="AI468" s="78"/>
      <c r="AJ468" s="78"/>
      <c r="AK468" s="78"/>
      <c r="AL468" s="78"/>
      <c r="AM468" s="78"/>
      <c r="AN468" s="76"/>
      <c r="AO468" s="76"/>
      <c r="AP468" s="76"/>
      <c r="AQ468" s="76"/>
      <c r="AR468" s="76"/>
      <c r="AS468" s="76"/>
      <c r="AT468" s="76"/>
      <c r="AU468" s="76"/>
      <c r="AV468" s="76"/>
      <c r="AW468" s="79"/>
      <c r="AX468" s="79"/>
      <c r="AY468" s="79"/>
      <c r="AZ468" s="79"/>
      <c r="BA468" s="79"/>
      <c r="BB468" s="11"/>
      <c r="BC468" s="11"/>
      <c r="BD468" s="11"/>
      <c r="BE468" s="73"/>
      <c r="BF468" s="73"/>
      <c r="BG468" s="73"/>
      <c r="BH468" s="77"/>
      <c r="BI468" s="77"/>
      <c r="BJ468" s="77"/>
      <c r="BK468" s="77"/>
      <c r="BL468" s="77"/>
      <c r="BM468" s="77"/>
      <c r="BN468" s="158"/>
      <c r="BO468" s="158"/>
    </row>
    <row r="469" spans="1:67" ht="15" x14ac:dyDescent="0.25">
      <c r="A469" s="71"/>
      <c r="B469" s="11"/>
      <c r="C469" s="11"/>
      <c r="D469" s="11"/>
      <c r="E469" s="11"/>
      <c r="F469" s="11"/>
      <c r="G469" s="11"/>
      <c r="H469" s="11"/>
      <c r="I469" s="11"/>
      <c r="J469" s="249"/>
      <c r="K469" s="72"/>
      <c r="L469" s="73"/>
      <c r="M469" s="73"/>
      <c r="N469" s="74"/>
      <c r="O469" s="75"/>
      <c r="P469" s="73"/>
      <c r="Q469" s="76"/>
      <c r="R469" s="76"/>
      <c r="S469" s="76"/>
      <c r="T469" s="76"/>
      <c r="U469" s="76"/>
      <c r="V469" s="76"/>
      <c r="W469" s="76"/>
      <c r="X469" s="76"/>
      <c r="Y469" s="76"/>
      <c r="Z469" s="77"/>
      <c r="AA469" s="77"/>
      <c r="AB469" s="77"/>
      <c r="AC469" s="77"/>
      <c r="AD469" s="77"/>
      <c r="AE469" s="77"/>
      <c r="AF469" s="77"/>
      <c r="AG469" s="77"/>
      <c r="AH469" s="78"/>
      <c r="AI469" s="78"/>
      <c r="AJ469" s="78"/>
      <c r="AK469" s="78"/>
      <c r="AL469" s="78"/>
      <c r="AM469" s="78"/>
      <c r="AN469" s="76"/>
      <c r="AO469" s="76"/>
      <c r="AP469" s="76"/>
      <c r="AQ469" s="76"/>
      <c r="AR469" s="76"/>
      <c r="AS469" s="76"/>
      <c r="AT469" s="76"/>
      <c r="AU469" s="76"/>
      <c r="AV469" s="76"/>
      <c r="AW469" s="79"/>
      <c r="AX469" s="79"/>
      <c r="AY469" s="79"/>
      <c r="AZ469" s="79"/>
      <c r="BA469" s="79"/>
      <c r="BB469" s="11"/>
      <c r="BC469" s="11"/>
      <c r="BD469" s="11"/>
      <c r="BE469" s="73"/>
      <c r="BF469" s="73"/>
      <c r="BG469" s="73"/>
      <c r="BH469" s="77"/>
      <c r="BI469" s="77"/>
      <c r="BJ469" s="77"/>
      <c r="BK469" s="77"/>
      <c r="BL469" s="77"/>
      <c r="BM469" s="77"/>
      <c r="BN469" s="158"/>
      <c r="BO469" s="158"/>
    </row>
    <row r="470" spans="1:67" ht="15" x14ac:dyDescent="0.25">
      <c r="A470" s="71"/>
      <c r="B470" s="11"/>
      <c r="C470" s="11"/>
      <c r="D470" s="11"/>
      <c r="E470" s="11"/>
      <c r="F470" s="11"/>
      <c r="G470" s="11"/>
      <c r="H470" s="11"/>
      <c r="I470" s="11"/>
      <c r="J470" s="249"/>
      <c r="K470" s="72"/>
      <c r="L470" s="73"/>
      <c r="M470" s="73"/>
      <c r="N470" s="74"/>
      <c r="O470" s="75"/>
      <c r="P470" s="73"/>
      <c r="Q470" s="76"/>
      <c r="R470" s="76"/>
      <c r="S470" s="76"/>
      <c r="T470" s="76"/>
      <c r="U470" s="76"/>
      <c r="V470" s="76"/>
      <c r="W470" s="76"/>
      <c r="X470" s="76"/>
      <c r="Y470" s="76"/>
      <c r="Z470" s="77"/>
      <c r="AA470" s="77"/>
      <c r="AB470" s="77"/>
      <c r="AC470" s="77"/>
      <c r="AD470" s="77"/>
      <c r="AE470" s="77"/>
      <c r="AF470" s="77"/>
      <c r="AG470" s="77"/>
      <c r="AH470" s="78"/>
      <c r="AI470" s="78"/>
      <c r="AJ470" s="78"/>
      <c r="AK470" s="78"/>
      <c r="AL470" s="78"/>
      <c r="AM470" s="78"/>
      <c r="AN470" s="76"/>
      <c r="AO470" s="76"/>
      <c r="AP470" s="76"/>
      <c r="AQ470" s="76"/>
      <c r="AR470" s="76"/>
      <c r="AS470" s="76"/>
      <c r="AT470" s="76"/>
      <c r="AU470" s="76"/>
      <c r="AV470" s="76"/>
      <c r="AW470" s="79"/>
      <c r="AX470" s="79"/>
      <c r="AY470" s="79"/>
      <c r="AZ470" s="79"/>
      <c r="BA470" s="79"/>
      <c r="BB470" s="11"/>
      <c r="BC470" s="11"/>
      <c r="BD470" s="11"/>
      <c r="BE470" s="73"/>
      <c r="BF470" s="73"/>
      <c r="BG470" s="73"/>
      <c r="BH470" s="77"/>
      <c r="BI470" s="77"/>
      <c r="BJ470" s="77"/>
      <c r="BK470" s="77"/>
      <c r="BL470" s="77"/>
      <c r="BM470" s="77"/>
      <c r="BN470" s="158"/>
      <c r="BO470" s="158"/>
    </row>
    <row r="471" spans="1:67" ht="15" x14ac:dyDescent="0.25">
      <c r="A471" s="71"/>
      <c r="B471" s="11"/>
      <c r="C471" s="11"/>
      <c r="D471" s="11"/>
      <c r="E471" s="11"/>
      <c r="F471" s="11"/>
      <c r="G471" s="11"/>
      <c r="H471" s="11"/>
      <c r="I471" s="11"/>
      <c r="J471" s="249"/>
      <c r="K471" s="72"/>
      <c r="L471" s="73"/>
      <c r="M471" s="73"/>
      <c r="N471" s="74"/>
      <c r="O471" s="75"/>
      <c r="P471" s="73"/>
      <c r="Q471" s="76"/>
      <c r="R471" s="76"/>
      <c r="S471" s="76"/>
      <c r="T471" s="76"/>
      <c r="U471" s="76"/>
      <c r="V471" s="76"/>
      <c r="W471" s="76"/>
      <c r="X471" s="76"/>
      <c r="Y471" s="76"/>
      <c r="Z471" s="77"/>
      <c r="AA471" s="77"/>
      <c r="AB471" s="77"/>
      <c r="AC471" s="77"/>
      <c r="AD471" s="77"/>
      <c r="AE471" s="77"/>
      <c r="AF471" s="77"/>
      <c r="AG471" s="77"/>
      <c r="AH471" s="78"/>
      <c r="AI471" s="78"/>
      <c r="AJ471" s="78"/>
      <c r="AK471" s="78"/>
      <c r="AL471" s="78"/>
      <c r="AM471" s="78"/>
      <c r="AN471" s="76"/>
      <c r="AO471" s="76"/>
      <c r="AP471" s="76"/>
      <c r="AQ471" s="76"/>
      <c r="AR471" s="76"/>
      <c r="AS471" s="76"/>
      <c r="AT471" s="76"/>
      <c r="AU471" s="76"/>
      <c r="AV471" s="76"/>
      <c r="AW471" s="79"/>
      <c r="AX471" s="79"/>
      <c r="AY471" s="79"/>
      <c r="AZ471" s="79"/>
      <c r="BA471" s="79"/>
      <c r="BB471" s="11"/>
      <c r="BC471" s="11"/>
      <c r="BD471" s="11"/>
      <c r="BE471" s="73"/>
      <c r="BF471" s="73"/>
      <c r="BG471" s="73"/>
      <c r="BH471" s="77"/>
      <c r="BI471" s="77"/>
      <c r="BJ471" s="77"/>
      <c r="BK471" s="77"/>
      <c r="BL471" s="77"/>
      <c r="BM471" s="77"/>
      <c r="BN471" s="158"/>
      <c r="BO471" s="158"/>
    </row>
    <row r="472" spans="1:67" ht="15" x14ac:dyDescent="0.25">
      <c r="A472" s="71"/>
      <c r="B472" s="11"/>
      <c r="C472" s="11"/>
      <c r="D472" s="11"/>
      <c r="E472" s="11"/>
      <c r="F472" s="11"/>
      <c r="G472" s="11"/>
      <c r="H472" s="11"/>
      <c r="I472" s="11"/>
      <c r="J472" s="249"/>
      <c r="K472" s="72"/>
      <c r="L472" s="73"/>
      <c r="M472" s="73"/>
      <c r="N472" s="74"/>
      <c r="O472" s="75"/>
      <c r="P472" s="73"/>
      <c r="Q472" s="76"/>
      <c r="R472" s="76"/>
      <c r="S472" s="76"/>
      <c r="T472" s="76"/>
      <c r="U472" s="76"/>
      <c r="V472" s="76"/>
      <c r="W472" s="76"/>
      <c r="X472" s="76"/>
      <c r="Y472" s="76"/>
      <c r="Z472" s="77"/>
      <c r="AA472" s="77"/>
      <c r="AB472" s="77"/>
      <c r="AC472" s="77"/>
      <c r="AD472" s="77"/>
      <c r="AE472" s="77"/>
      <c r="AF472" s="77"/>
      <c r="AG472" s="77"/>
      <c r="AH472" s="78"/>
      <c r="AI472" s="78"/>
      <c r="AJ472" s="78"/>
      <c r="AK472" s="78"/>
      <c r="AL472" s="78"/>
      <c r="AM472" s="78"/>
      <c r="AN472" s="76"/>
      <c r="AO472" s="76"/>
      <c r="AP472" s="76"/>
      <c r="AQ472" s="76"/>
      <c r="AR472" s="76"/>
      <c r="AS472" s="76"/>
      <c r="AT472" s="76"/>
      <c r="AU472" s="76"/>
      <c r="AV472" s="76"/>
      <c r="AW472" s="79"/>
      <c r="AX472" s="79"/>
      <c r="AY472" s="79"/>
      <c r="AZ472" s="79"/>
      <c r="BA472" s="79"/>
      <c r="BB472" s="11"/>
      <c r="BC472" s="11"/>
      <c r="BD472" s="11"/>
      <c r="BE472" s="73"/>
      <c r="BF472" s="73"/>
      <c r="BG472" s="73"/>
      <c r="BH472" s="77"/>
      <c r="BI472" s="77"/>
      <c r="BJ472" s="77"/>
      <c r="BK472" s="77"/>
      <c r="BL472" s="77"/>
      <c r="BM472" s="77"/>
      <c r="BN472" s="158"/>
      <c r="BO472" s="158"/>
    </row>
    <row r="473" spans="1:67" ht="15" x14ac:dyDescent="0.25">
      <c r="A473" s="71"/>
      <c r="B473" s="11"/>
      <c r="C473" s="11"/>
      <c r="D473" s="11"/>
      <c r="E473" s="11"/>
      <c r="F473" s="11"/>
      <c r="G473" s="11"/>
      <c r="H473" s="11"/>
      <c r="I473" s="11"/>
      <c r="J473" s="249"/>
      <c r="K473" s="72"/>
      <c r="L473" s="73"/>
      <c r="M473" s="73"/>
      <c r="N473" s="74"/>
      <c r="O473" s="75"/>
      <c r="P473" s="73"/>
      <c r="Q473" s="76"/>
      <c r="R473" s="76"/>
      <c r="S473" s="76"/>
      <c r="T473" s="76"/>
      <c r="U473" s="76"/>
      <c r="V473" s="76"/>
      <c r="W473" s="76"/>
      <c r="X473" s="76"/>
      <c r="Y473" s="76"/>
      <c r="Z473" s="77"/>
      <c r="AA473" s="77"/>
      <c r="AB473" s="77"/>
      <c r="AC473" s="77"/>
      <c r="AD473" s="77"/>
      <c r="AE473" s="77"/>
      <c r="AF473" s="77"/>
      <c r="AG473" s="77"/>
      <c r="AH473" s="78"/>
      <c r="AI473" s="78"/>
      <c r="AJ473" s="78"/>
      <c r="AK473" s="78"/>
      <c r="AL473" s="78"/>
      <c r="AM473" s="78"/>
      <c r="AN473" s="76"/>
      <c r="AO473" s="76"/>
      <c r="AP473" s="76"/>
      <c r="AQ473" s="76"/>
      <c r="AR473" s="76"/>
      <c r="AS473" s="76"/>
      <c r="AT473" s="76"/>
      <c r="AU473" s="76"/>
      <c r="AV473" s="76"/>
      <c r="AW473" s="79"/>
      <c r="AX473" s="79"/>
      <c r="AY473" s="79"/>
      <c r="AZ473" s="79"/>
      <c r="BA473" s="79"/>
      <c r="BB473" s="11"/>
      <c r="BC473" s="11"/>
      <c r="BD473" s="11"/>
      <c r="BE473" s="73"/>
      <c r="BF473" s="73"/>
      <c r="BG473" s="73"/>
      <c r="BH473" s="77"/>
      <c r="BI473" s="77"/>
      <c r="BJ473" s="77"/>
      <c r="BK473" s="77"/>
      <c r="BL473" s="77"/>
      <c r="BM473" s="77"/>
      <c r="BN473" s="158"/>
      <c r="BO473" s="158"/>
    </row>
    <row r="474" spans="1:67" ht="15" x14ac:dyDescent="0.25">
      <c r="A474" s="71"/>
      <c r="B474" s="11"/>
      <c r="C474" s="11"/>
      <c r="D474" s="11"/>
      <c r="E474" s="11"/>
      <c r="F474" s="11"/>
      <c r="G474" s="11"/>
      <c r="H474" s="11"/>
      <c r="I474" s="11"/>
      <c r="J474" s="249"/>
      <c r="K474" s="72"/>
      <c r="L474" s="73"/>
      <c r="M474" s="73"/>
      <c r="N474" s="74"/>
      <c r="O474" s="75"/>
      <c r="P474" s="73"/>
      <c r="Q474" s="76"/>
      <c r="R474" s="76"/>
      <c r="S474" s="76"/>
      <c r="T474" s="76"/>
      <c r="U474" s="76"/>
      <c r="V474" s="76"/>
      <c r="W474" s="76"/>
      <c r="X474" s="76"/>
      <c r="Y474" s="76"/>
      <c r="Z474" s="77"/>
      <c r="AA474" s="77"/>
      <c r="AB474" s="77"/>
      <c r="AC474" s="77"/>
      <c r="AD474" s="77"/>
      <c r="AE474" s="77"/>
      <c r="AF474" s="77"/>
      <c r="AG474" s="77"/>
      <c r="AH474" s="78"/>
      <c r="AI474" s="78"/>
      <c r="AJ474" s="78"/>
      <c r="AK474" s="78"/>
      <c r="AL474" s="78"/>
      <c r="AM474" s="78"/>
      <c r="AN474" s="76"/>
      <c r="AO474" s="76"/>
      <c r="AP474" s="76"/>
      <c r="AQ474" s="76"/>
      <c r="AR474" s="76"/>
      <c r="AS474" s="76"/>
      <c r="AT474" s="76"/>
      <c r="AU474" s="76"/>
      <c r="AV474" s="76"/>
      <c r="AW474" s="79"/>
      <c r="AX474" s="79"/>
      <c r="AY474" s="79"/>
      <c r="AZ474" s="79"/>
      <c r="BA474" s="79"/>
      <c r="BB474" s="11"/>
      <c r="BC474" s="11"/>
      <c r="BD474" s="11"/>
      <c r="BE474" s="73"/>
      <c r="BF474" s="73"/>
      <c r="BG474" s="73"/>
      <c r="BH474" s="77"/>
      <c r="BI474" s="77"/>
      <c r="BJ474" s="77"/>
      <c r="BK474" s="77"/>
      <c r="BL474" s="77"/>
      <c r="BM474" s="77"/>
      <c r="BN474" s="158"/>
      <c r="BO474" s="158"/>
    </row>
    <row r="475" spans="1:67" ht="15" x14ac:dyDescent="0.25">
      <c r="A475" s="71"/>
      <c r="B475" s="11"/>
      <c r="C475" s="11"/>
      <c r="D475" s="11"/>
      <c r="E475" s="11"/>
      <c r="F475" s="11"/>
      <c r="G475" s="11"/>
      <c r="H475" s="11"/>
      <c r="I475" s="11"/>
      <c r="J475" s="249"/>
      <c r="K475" s="72"/>
      <c r="L475" s="73"/>
      <c r="M475" s="73"/>
      <c r="N475" s="74"/>
      <c r="O475" s="75"/>
      <c r="P475" s="73"/>
      <c r="Q475" s="76"/>
      <c r="R475" s="76"/>
      <c r="S475" s="76"/>
      <c r="T475" s="76"/>
      <c r="U475" s="76"/>
      <c r="V475" s="76"/>
      <c r="W475" s="76"/>
      <c r="X475" s="76"/>
      <c r="Y475" s="76"/>
      <c r="Z475" s="77"/>
      <c r="AA475" s="77"/>
      <c r="AB475" s="77"/>
      <c r="AC475" s="77"/>
      <c r="AD475" s="77"/>
      <c r="AE475" s="77"/>
      <c r="AF475" s="77"/>
      <c r="AG475" s="77"/>
      <c r="AH475" s="78"/>
      <c r="AI475" s="78"/>
      <c r="AJ475" s="78"/>
      <c r="AK475" s="78"/>
      <c r="AL475" s="78"/>
      <c r="AM475" s="78"/>
      <c r="AN475" s="76"/>
      <c r="AO475" s="76"/>
      <c r="AP475" s="76"/>
      <c r="AQ475" s="76"/>
      <c r="AR475" s="76"/>
      <c r="AS475" s="76"/>
      <c r="AT475" s="76"/>
      <c r="AU475" s="76"/>
      <c r="AV475" s="76"/>
      <c r="AW475" s="79"/>
      <c r="AX475" s="79"/>
      <c r="AY475" s="79"/>
      <c r="AZ475" s="79"/>
      <c r="BA475" s="79"/>
      <c r="BB475" s="11"/>
      <c r="BC475" s="11"/>
      <c r="BD475" s="11"/>
      <c r="BE475" s="73"/>
      <c r="BF475" s="73"/>
      <c r="BG475" s="73"/>
      <c r="BH475" s="77"/>
      <c r="BI475" s="77"/>
      <c r="BJ475" s="77"/>
      <c r="BK475" s="77"/>
      <c r="BL475" s="77"/>
      <c r="BM475" s="77"/>
      <c r="BN475" s="158"/>
      <c r="BO475" s="158"/>
    </row>
    <row r="476" spans="1:67" ht="15" x14ac:dyDescent="0.25">
      <c r="A476" s="71"/>
      <c r="B476" s="11"/>
      <c r="C476" s="11"/>
      <c r="D476" s="11"/>
      <c r="E476" s="11"/>
      <c r="F476" s="11"/>
      <c r="G476" s="11"/>
      <c r="H476" s="11"/>
      <c r="I476" s="11"/>
      <c r="J476" s="249"/>
      <c r="K476" s="72"/>
      <c r="L476" s="73"/>
      <c r="M476" s="73"/>
      <c r="N476" s="74"/>
      <c r="O476" s="75"/>
      <c r="P476" s="73"/>
      <c r="Q476" s="76"/>
      <c r="R476" s="76"/>
      <c r="S476" s="76"/>
      <c r="T476" s="76"/>
      <c r="U476" s="76"/>
      <c r="V476" s="76"/>
      <c r="W476" s="76"/>
      <c r="X476" s="76"/>
      <c r="Y476" s="76"/>
      <c r="Z476" s="77"/>
      <c r="AA476" s="77"/>
      <c r="AB476" s="77"/>
      <c r="AC476" s="77"/>
      <c r="AD476" s="77"/>
      <c r="AE476" s="77"/>
      <c r="AF476" s="77"/>
      <c r="AG476" s="77"/>
      <c r="AH476" s="78"/>
      <c r="AI476" s="78"/>
      <c r="AJ476" s="78"/>
      <c r="AK476" s="78"/>
      <c r="AL476" s="78"/>
      <c r="AM476" s="78"/>
      <c r="AN476" s="76"/>
      <c r="AO476" s="76"/>
      <c r="AP476" s="76"/>
      <c r="AQ476" s="76"/>
      <c r="AR476" s="76"/>
      <c r="AS476" s="76"/>
      <c r="AT476" s="76"/>
      <c r="AU476" s="76"/>
      <c r="AV476" s="76"/>
      <c r="AW476" s="79"/>
      <c r="AX476" s="79"/>
      <c r="AY476" s="79"/>
      <c r="AZ476" s="79"/>
      <c r="BA476" s="79"/>
      <c r="BB476" s="11"/>
      <c r="BC476" s="11"/>
      <c r="BD476" s="11"/>
      <c r="BE476" s="73"/>
      <c r="BF476" s="73"/>
      <c r="BG476" s="73"/>
      <c r="BH476" s="77"/>
      <c r="BI476" s="77"/>
      <c r="BJ476" s="77"/>
      <c r="BK476" s="77"/>
      <c r="BL476" s="77"/>
      <c r="BM476" s="77"/>
      <c r="BN476" s="158"/>
      <c r="BO476" s="158"/>
    </row>
    <row r="477" spans="1:67" ht="15" x14ac:dyDescent="0.25">
      <c r="A477" s="71"/>
      <c r="B477" s="11"/>
      <c r="C477" s="11"/>
      <c r="D477" s="11"/>
      <c r="E477" s="11"/>
      <c r="F477" s="11"/>
      <c r="G477" s="11"/>
      <c r="H477" s="11"/>
      <c r="I477" s="11"/>
      <c r="J477" s="249"/>
      <c r="K477" s="72"/>
      <c r="L477" s="73"/>
      <c r="M477" s="73"/>
      <c r="N477" s="74"/>
      <c r="O477" s="75"/>
      <c r="P477" s="73"/>
      <c r="Q477" s="76"/>
      <c r="R477" s="76"/>
      <c r="S477" s="76"/>
      <c r="T477" s="76"/>
      <c r="U477" s="76"/>
      <c r="V477" s="76"/>
      <c r="W477" s="76"/>
      <c r="X477" s="76"/>
      <c r="Y477" s="76"/>
      <c r="Z477" s="77"/>
      <c r="AA477" s="77"/>
      <c r="AB477" s="77"/>
      <c r="AC477" s="77"/>
      <c r="AD477" s="77"/>
      <c r="AE477" s="77"/>
      <c r="AF477" s="77"/>
      <c r="AG477" s="77"/>
      <c r="AH477" s="78"/>
      <c r="AI477" s="78"/>
      <c r="AJ477" s="78"/>
      <c r="AK477" s="78"/>
      <c r="AL477" s="78"/>
      <c r="AM477" s="78"/>
      <c r="AN477" s="76"/>
      <c r="AO477" s="76"/>
      <c r="AP477" s="76"/>
      <c r="AQ477" s="76"/>
      <c r="AR477" s="76"/>
      <c r="AS477" s="76"/>
      <c r="AT477" s="76"/>
      <c r="AU477" s="76"/>
      <c r="AV477" s="76"/>
      <c r="AW477" s="79"/>
      <c r="AX477" s="79"/>
      <c r="AY477" s="79"/>
      <c r="AZ477" s="79"/>
      <c r="BA477" s="79"/>
      <c r="BB477" s="11"/>
      <c r="BC477" s="11"/>
      <c r="BD477" s="11"/>
      <c r="BE477" s="73"/>
      <c r="BF477" s="73"/>
      <c r="BG477" s="73"/>
      <c r="BH477" s="77"/>
      <c r="BI477" s="77"/>
      <c r="BJ477" s="77"/>
      <c r="BK477" s="77"/>
      <c r="BL477" s="77"/>
      <c r="BM477" s="77"/>
      <c r="BN477" s="158"/>
      <c r="BO477" s="158"/>
    </row>
    <row r="478" spans="1:67" ht="15" x14ac:dyDescent="0.25">
      <c r="A478" s="71"/>
      <c r="B478" s="11"/>
      <c r="C478" s="11"/>
      <c r="D478" s="11"/>
      <c r="E478" s="11"/>
      <c r="F478" s="11"/>
      <c r="G478" s="11"/>
      <c r="H478" s="11"/>
      <c r="I478" s="11"/>
      <c r="J478" s="249"/>
      <c r="K478" s="72"/>
      <c r="L478" s="73"/>
      <c r="M478" s="73"/>
      <c r="N478" s="74"/>
      <c r="O478" s="75"/>
      <c r="P478" s="73"/>
      <c r="Q478" s="76"/>
      <c r="R478" s="76"/>
      <c r="S478" s="76"/>
      <c r="T478" s="76"/>
      <c r="U478" s="76"/>
      <c r="V478" s="76"/>
      <c r="W478" s="76"/>
      <c r="X478" s="76"/>
      <c r="Y478" s="76"/>
      <c r="Z478" s="77"/>
      <c r="AA478" s="77"/>
      <c r="AB478" s="77"/>
      <c r="AC478" s="77"/>
      <c r="AD478" s="77"/>
      <c r="AE478" s="77"/>
      <c r="AF478" s="77"/>
      <c r="AG478" s="77"/>
      <c r="AH478" s="78"/>
      <c r="AI478" s="78"/>
      <c r="AJ478" s="78"/>
      <c r="AK478" s="78"/>
      <c r="AL478" s="78"/>
      <c r="AM478" s="78"/>
      <c r="AN478" s="76"/>
      <c r="AO478" s="76"/>
      <c r="AP478" s="76"/>
      <c r="AQ478" s="76"/>
      <c r="AR478" s="76"/>
      <c r="AS478" s="76"/>
      <c r="AT478" s="76"/>
      <c r="AU478" s="76"/>
      <c r="AV478" s="76"/>
      <c r="AW478" s="79"/>
      <c r="AX478" s="79"/>
      <c r="AY478" s="79"/>
      <c r="AZ478" s="79"/>
      <c r="BA478" s="79"/>
      <c r="BB478" s="11"/>
      <c r="BC478" s="11"/>
      <c r="BD478" s="11"/>
      <c r="BE478" s="73"/>
      <c r="BF478" s="73"/>
      <c r="BG478" s="73"/>
      <c r="BH478" s="77"/>
      <c r="BI478" s="77"/>
      <c r="BJ478" s="77"/>
      <c r="BK478" s="77"/>
      <c r="BL478" s="77"/>
      <c r="BM478" s="77"/>
      <c r="BN478" s="158"/>
      <c r="BO478" s="158"/>
    </row>
    <row r="479" spans="1:67" ht="15" x14ac:dyDescent="0.25">
      <c r="A479" s="71"/>
      <c r="B479" s="11"/>
      <c r="C479" s="11"/>
      <c r="D479" s="11"/>
      <c r="E479" s="11"/>
      <c r="F479" s="11"/>
      <c r="G479" s="11"/>
      <c r="H479" s="11"/>
      <c r="I479" s="11"/>
      <c r="J479" s="249"/>
      <c r="K479" s="72"/>
      <c r="L479" s="73"/>
      <c r="M479" s="73"/>
      <c r="N479" s="74"/>
      <c r="O479" s="75"/>
      <c r="P479" s="73"/>
      <c r="Q479" s="76"/>
      <c r="R479" s="76"/>
      <c r="S479" s="76"/>
      <c r="T479" s="76"/>
      <c r="U479" s="76"/>
      <c r="V479" s="76"/>
      <c r="W479" s="76"/>
      <c r="X479" s="76"/>
      <c r="Y479" s="76"/>
      <c r="Z479" s="77"/>
      <c r="AA479" s="77"/>
      <c r="AB479" s="77"/>
      <c r="AC479" s="77"/>
      <c r="AD479" s="77"/>
      <c r="AE479" s="77"/>
      <c r="AF479" s="77"/>
      <c r="AG479" s="77"/>
      <c r="AH479" s="78"/>
      <c r="AI479" s="78"/>
      <c r="AJ479" s="78"/>
      <c r="AK479" s="78"/>
      <c r="AL479" s="78"/>
      <c r="AM479" s="78"/>
      <c r="AN479" s="76"/>
      <c r="AO479" s="76"/>
      <c r="AP479" s="76"/>
      <c r="AQ479" s="76"/>
      <c r="AR479" s="76"/>
      <c r="AS479" s="76"/>
      <c r="AT479" s="76"/>
      <c r="AU479" s="76"/>
      <c r="AV479" s="76"/>
      <c r="AW479" s="79"/>
      <c r="AX479" s="79"/>
      <c r="AY479" s="79"/>
      <c r="AZ479" s="79"/>
      <c r="BA479" s="79"/>
      <c r="BB479" s="11"/>
      <c r="BC479" s="11"/>
      <c r="BD479" s="11"/>
      <c r="BE479" s="73"/>
      <c r="BF479" s="73"/>
      <c r="BG479" s="73"/>
      <c r="BH479" s="77"/>
      <c r="BI479" s="77"/>
      <c r="BJ479" s="77"/>
      <c r="BK479" s="77"/>
      <c r="BL479" s="77"/>
      <c r="BM479" s="77"/>
      <c r="BN479" s="158"/>
      <c r="BO479" s="158"/>
    </row>
    <row r="480" spans="1:67" ht="15" x14ac:dyDescent="0.25">
      <c r="A480" s="71"/>
      <c r="B480" s="11"/>
      <c r="C480" s="11"/>
      <c r="D480" s="11"/>
      <c r="E480" s="11"/>
      <c r="F480" s="11"/>
      <c r="G480" s="11"/>
      <c r="H480" s="11"/>
      <c r="I480" s="11"/>
      <c r="J480" s="249"/>
      <c r="K480" s="72"/>
      <c r="L480" s="73"/>
      <c r="M480" s="73"/>
      <c r="N480" s="74"/>
      <c r="O480" s="75"/>
      <c r="P480" s="73"/>
      <c r="Q480" s="76"/>
      <c r="R480" s="76"/>
      <c r="S480" s="76"/>
      <c r="T480" s="76"/>
      <c r="U480" s="76"/>
      <c r="V480" s="76"/>
      <c r="W480" s="76"/>
      <c r="X480" s="76"/>
      <c r="Y480" s="76"/>
      <c r="Z480" s="77"/>
      <c r="AA480" s="77"/>
      <c r="AB480" s="77"/>
      <c r="AC480" s="77"/>
      <c r="AD480" s="77"/>
      <c r="AE480" s="77"/>
      <c r="AF480" s="77"/>
      <c r="AG480" s="77"/>
      <c r="AH480" s="78"/>
      <c r="AI480" s="78"/>
      <c r="AJ480" s="78"/>
      <c r="AK480" s="78"/>
      <c r="AL480" s="78"/>
      <c r="AM480" s="78"/>
      <c r="AN480" s="76"/>
      <c r="AO480" s="76"/>
      <c r="AP480" s="76"/>
      <c r="AQ480" s="76"/>
      <c r="AR480" s="76"/>
      <c r="AS480" s="76"/>
      <c r="AT480" s="76"/>
      <c r="AU480" s="76"/>
      <c r="AV480" s="76"/>
      <c r="AW480" s="79"/>
      <c r="AX480" s="79"/>
      <c r="AY480" s="79"/>
      <c r="AZ480" s="79"/>
      <c r="BA480" s="79"/>
      <c r="BB480" s="11"/>
      <c r="BC480" s="11"/>
      <c r="BD480" s="11"/>
      <c r="BE480" s="73"/>
      <c r="BF480" s="73"/>
      <c r="BG480" s="73"/>
      <c r="BH480" s="77"/>
      <c r="BI480" s="77"/>
      <c r="BJ480" s="77"/>
      <c r="BK480" s="77"/>
      <c r="BL480" s="77"/>
      <c r="BM480" s="77"/>
      <c r="BN480" s="158"/>
      <c r="BO480" s="158"/>
    </row>
    <row r="481" spans="1:67" ht="15" x14ac:dyDescent="0.25">
      <c r="A481" s="71"/>
      <c r="B481" s="11"/>
      <c r="C481" s="11"/>
      <c r="D481" s="11"/>
      <c r="E481" s="11"/>
      <c r="F481" s="11"/>
      <c r="G481" s="11"/>
      <c r="H481" s="11"/>
      <c r="I481" s="11"/>
      <c r="J481" s="249"/>
      <c r="K481" s="72"/>
      <c r="L481" s="73"/>
      <c r="M481" s="73"/>
      <c r="N481" s="74"/>
      <c r="O481" s="75"/>
      <c r="P481" s="73"/>
      <c r="Q481" s="76"/>
      <c r="R481" s="76"/>
      <c r="S481" s="76"/>
      <c r="T481" s="76"/>
      <c r="U481" s="76"/>
      <c r="V481" s="76"/>
      <c r="W481" s="76"/>
      <c r="X481" s="76"/>
      <c r="Y481" s="76"/>
      <c r="Z481" s="77"/>
      <c r="AA481" s="77"/>
      <c r="AB481" s="77"/>
      <c r="AC481" s="77"/>
      <c r="AD481" s="77"/>
      <c r="AE481" s="77"/>
      <c r="AF481" s="77"/>
      <c r="AG481" s="77"/>
      <c r="AH481" s="78"/>
      <c r="AI481" s="78"/>
      <c r="AJ481" s="78"/>
      <c r="AK481" s="78"/>
      <c r="AL481" s="78"/>
      <c r="AM481" s="78"/>
      <c r="AN481" s="76"/>
      <c r="AO481" s="76"/>
      <c r="AP481" s="76"/>
      <c r="AQ481" s="76"/>
      <c r="AR481" s="76"/>
      <c r="AS481" s="76"/>
      <c r="AT481" s="76"/>
      <c r="AU481" s="76"/>
      <c r="AV481" s="76"/>
      <c r="AW481" s="79"/>
      <c r="AX481" s="79"/>
      <c r="AY481" s="79"/>
      <c r="AZ481" s="79"/>
      <c r="BA481" s="79"/>
      <c r="BB481" s="11"/>
      <c r="BC481" s="11"/>
      <c r="BD481" s="11"/>
      <c r="BE481" s="73"/>
      <c r="BF481" s="73"/>
      <c r="BG481" s="73"/>
      <c r="BH481" s="77"/>
      <c r="BI481" s="77"/>
      <c r="BJ481" s="77"/>
      <c r="BK481" s="77"/>
      <c r="BL481" s="77"/>
      <c r="BM481" s="77"/>
      <c r="BN481" s="158"/>
      <c r="BO481" s="158"/>
    </row>
    <row r="482" spans="1:67" ht="15" x14ac:dyDescent="0.25">
      <c r="A482" s="71"/>
      <c r="B482" s="11"/>
      <c r="C482" s="11"/>
      <c r="D482" s="11"/>
      <c r="E482" s="11"/>
      <c r="F482" s="11"/>
      <c r="G482" s="11"/>
      <c r="H482" s="11"/>
      <c r="I482" s="11"/>
      <c r="J482" s="249"/>
      <c r="K482" s="72"/>
      <c r="L482" s="73"/>
      <c r="M482" s="73"/>
      <c r="N482" s="74"/>
      <c r="O482" s="75"/>
      <c r="P482" s="73"/>
      <c r="Q482" s="76"/>
      <c r="R482" s="76"/>
      <c r="S482" s="76"/>
      <c r="T482" s="76"/>
      <c r="U482" s="76"/>
      <c r="V482" s="76"/>
      <c r="W482" s="76"/>
      <c r="X482" s="76"/>
      <c r="Y482" s="76"/>
      <c r="Z482" s="77"/>
      <c r="AA482" s="77"/>
      <c r="AB482" s="77"/>
      <c r="AC482" s="77"/>
      <c r="AD482" s="77"/>
      <c r="AE482" s="77"/>
      <c r="AF482" s="77"/>
      <c r="AG482" s="77"/>
      <c r="AH482" s="78"/>
      <c r="AI482" s="78"/>
      <c r="AJ482" s="78"/>
      <c r="AK482" s="78"/>
      <c r="AL482" s="78"/>
      <c r="AM482" s="78"/>
      <c r="AN482" s="76"/>
      <c r="AO482" s="76"/>
      <c r="AP482" s="76"/>
      <c r="AQ482" s="76"/>
      <c r="AR482" s="76"/>
      <c r="AS482" s="76"/>
      <c r="AT482" s="76"/>
      <c r="AU482" s="76"/>
      <c r="AV482" s="76"/>
      <c r="AW482" s="79"/>
      <c r="AX482" s="79"/>
      <c r="AY482" s="79"/>
      <c r="AZ482" s="79"/>
      <c r="BA482" s="79"/>
      <c r="BB482" s="11"/>
      <c r="BC482" s="11"/>
      <c r="BD482" s="11"/>
      <c r="BE482" s="73"/>
      <c r="BF482" s="73"/>
      <c r="BG482" s="73"/>
      <c r="BH482" s="77"/>
      <c r="BI482" s="77"/>
      <c r="BJ482" s="77"/>
      <c r="BK482" s="77"/>
      <c r="BL482" s="77"/>
      <c r="BM482" s="77"/>
      <c r="BN482" s="158"/>
      <c r="BO482" s="158"/>
    </row>
    <row r="483" spans="1:67" ht="15" x14ac:dyDescent="0.25">
      <c r="A483" s="71"/>
      <c r="B483" s="11"/>
      <c r="C483" s="11"/>
      <c r="D483" s="11"/>
      <c r="E483" s="11"/>
      <c r="F483" s="11"/>
      <c r="G483" s="11"/>
      <c r="H483" s="11"/>
      <c r="I483" s="11"/>
      <c r="J483" s="249"/>
      <c r="K483" s="72"/>
      <c r="L483" s="73"/>
      <c r="M483" s="73"/>
      <c r="N483" s="74"/>
      <c r="O483" s="75"/>
      <c r="P483" s="73"/>
      <c r="Q483" s="76"/>
      <c r="R483" s="76"/>
      <c r="S483" s="76"/>
      <c r="T483" s="76"/>
      <c r="U483" s="76"/>
      <c r="V483" s="76"/>
      <c r="W483" s="76"/>
      <c r="X483" s="76"/>
      <c r="Y483" s="76"/>
      <c r="Z483" s="77"/>
      <c r="AA483" s="77"/>
      <c r="AB483" s="77"/>
      <c r="AC483" s="77"/>
      <c r="AD483" s="77"/>
      <c r="AE483" s="77"/>
      <c r="AF483" s="77"/>
      <c r="AG483" s="77"/>
      <c r="AH483" s="78"/>
      <c r="AI483" s="78"/>
      <c r="AJ483" s="78"/>
      <c r="AK483" s="78"/>
      <c r="AL483" s="78"/>
      <c r="AM483" s="78"/>
      <c r="AN483" s="76"/>
      <c r="AO483" s="76"/>
      <c r="AP483" s="76"/>
      <c r="AQ483" s="76"/>
      <c r="AR483" s="76"/>
      <c r="AS483" s="76"/>
      <c r="AT483" s="76"/>
      <c r="AU483" s="76"/>
      <c r="AV483" s="76"/>
      <c r="AW483" s="79"/>
      <c r="AX483" s="79"/>
      <c r="AY483" s="79"/>
      <c r="AZ483" s="79"/>
      <c r="BA483" s="79"/>
      <c r="BB483" s="11"/>
      <c r="BC483" s="11"/>
      <c r="BD483" s="11"/>
      <c r="BE483" s="73"/>
      <c r="BF483" s="73"/>
      <c r="BG483" s="73"/>
      <c r="BH483" s="77"/>
      <c r="BI483" s="77"/>
      <c r="BJ483" s="77"/>
      <c r="BK483" s="77"/>
      <c r="BL483" s="77"/>
      <c r="BM483" s="77"/>
      <c r="BN483" s="158"/>
      <c r="BO483" s="158"/>
    </row>
    <row r="484" spans="1:67" ht="15" x14ac:dyDescent="0.25">
      <c r="A484" s="71"/>
      <c r="B484" s="11"/>
      <c r="C484" s="11"/>
      <c r="D484" s="11"/>
      <c r="E484" s="11"/>
      <c r="F484" s="11"/>
      <c r="G484" s="11"/>
      <c r="H484" s="11"/>
      <c r="I484" s="11"/>
      <c r="J484" s="249"/>
      <c r="K484" s="72"/>
      <c r="L484" s="73"/>
      <c r="M484" s="73"/>
      <c r="N484" s="74"/>
      <c r="O484" s="75"/>
      <c r="P484" s="73"/>
      <c r="Q484" s="76"/>
      <c r="R484" s="76"/>
      <c r="S484" s="76"/>
      <c r="T484" s="76"/>
      <c r="U484" s="76"/>
      <c r="V484" s="76"/>
      <c r="W484" s="76"/>
      <c r="X484" s="76"/>
      <c r="Y484" s="76"/>
      <c r="Z484" s="77"/>
      <c r="AA484" s="77"/>
      <c r="AB484" s="77"/>
      <c r="AC484" s="77"/>
      <c r="AD484" s="77"/>
      <c r="AE484" s="77"/>
      <c r="AF484" s="77"/>
      <c r="AG484" s="77"/>
      <c r="AH484" s="78"/>
      <c r="AI484" s="78"/>
      <c r="AJ484" s="78"/>
      <c r="AK484" s="78"/>
      <c r="AL484" s="78"/>
      <c r="AM484" s="78"/>
      <c r="AN484" s="76"/>
      <c r="AO484" s="76"/>
      <c r="AP484" s="76"/>
      <c r="AQ484" s="76"/>
      <c r="AR484" s="76"/>
      <c r="AS484" s="76"/>
      <c r="AT484" s="76"/>
      <c r="AU484" s="76"/>
      <c r="AV484" s="76"/>
      <c r="AW484" s="79"/>
      <c r="AX484" s="79"/>
      <c r="AY484" s="79"/>
      <c r="AZ484" s="79"/>
      <c r="BA484" s="79"/>
      <c r="BB484" s="11"/>
      <c r="BC484" s="11"/>
      <c r="BD484" s="11"/>
      <c r="BE484" s="73"/>
      <c r="BF484" s="73"/>
      <c r="BG484" s="73"/>
      <c r="BH484" s="77"/>
      <c r="BI484" s="77"/>
      <c r="BJ484" s="77"/>
      <c r="BK484" s="77"/>
      <c r="BL484" s="77"/>
      <c r="BM484" s="77"/>
      <c r="BN484" s="158"/>
      <c r="BO484" s="158"/>
    </row>
    <row r="485" spans="1:67" ht="15" x14ac:dyDescent="0.25">
      <c r="A485" s="71"/>
      <c r="B485" s="11"/>
      <c r="C485" s="11"/>
      <c r="D485" s="11"/>
      <c r="E485" s="11"/>
      <c r="F485" s="11"/>
      <c r="G485" s="11"/>
      <c r="H485" s="11"/>
      <c r="I485" s="11"/>
      <c r="J485" s="249"/>
      <c r="K485" s="72"/>
      <c r="L485" s="73"/>
      <c r="M485" s="73"/>
      <c r="N485" s="74"/>
      <c r="O485" s="75"/>
      <c r="P485" s="73"/>
      <c r="Q485" s="76"/>
      <c r="R485" s="76"/>
      <c r="S485" s="76"/>
      <c r="T485" s="76"/>
      <c r="U485" s="76"/>
      <c r="V485" s="76"/>
      <c r="W485" s="76"/>
      <c r="X485" s="76"/>
      <c r="Y485" s="76"/>
      <c r="Z485" s="77"/>
      <c r="AA485" s="77"/>
      <c r="AB485" s="77"/>
      <c r="AC485" s="77"/>
      <c r="AD485" s="77"/>
      <c r="AE485" s="77"/>
      <c r="AF485" s="77"/>
      <c r="AG485" s="77"/>
      <c r="AH485" s="78"/>
      <c r="AI485" s="78"/>
      <c r="AJ485" s="78"/>
      <c r="AK485" s="78"/>
      <c r="AL485" s="78"/>
      <c r="AM485" s="78"/>
      <c r="AN485" s="76"/>
      <c r="AO485" s="76"/>
      <c r="AP485" s="76"/>
      <c r="AQ485" s="76"/>
      <c r="AR485" s="76"/>
      <c r="AS485" s="76"/>
      <c r="AT485" s="76"/>
      <c r="AU485" s="76"/>
      <c r="AV485" s="76"/>
      <c r="AW485" s="79"/>
      <c r="AX485" s="79"/>
      <c r="AY485" s="79"/>
      <c r="AZ485" s="79"/>
      <c r="BA485" s="79"/>
      <c r="BB485" s="11"/>
      <c r="BC485" s="11"/>
      <c r="BD485" s="11"/>
      <c r="BE485" s="73"/>
      <c r="BF485" s="73"/>
      <c r="BG485" s="73"/>
      <c r="BH485" s="77"/>
      <c r="BI485" s="77"/>
      <c r="BJ485" s="77"/>
      <c r="BK485" s="77"/>
      <c r="BL485" s="77"/>
      <c r="BM485" s="77"/>
      <c r="BN485" s="158"/>
      <c r="BO485" s="158"/>
    </row>
    <row r="486" spans="1:67" ht="15" x14ac:dyDescent="0.25">
      <c r="A486" s="71"/>
      <c r="B486" s="11"/>
      <c r="C486" s="11"/>
      <c r="D486" s="11"/>
      <c r="E486" s="11"/>
      <c r="F486" s="11"/>
      <c r="G486" s="11"/>
      <c r="H486" s="11"/>
      <c r="I486" s="11"/>
      <c r="J486" s="249"/>
      <c r="K486" s="72"/>
      <c r="L486" s="73"/>
      <c r="M486" s="73"/>
      <c r="N486" s="74"/>
      <c r="O486" s="75"/>
      <c r="P486" s="73"/>
      <c r="Q486" s="76"/>
      <c r="R486" s="76"/>
      <c r="S486" s="76"/>
      <c r="T486" s="76"/>
      <c r="U486" s="76"/>
      <c r="V486" s="76"/>
      <c r="W486" s="76"/>
      <c r="X486" s="76"/>
      <c r="Y486" s="76"/>
      <c r="Z486" s="77"/>
      <c r="AA486" s="77"/>
      <c r="AB486" s="77"/>
      <c r="AC486" s="77"/>
      <c r="AD486" s="77"/>
      <c r="AE486" s="77"/>
      <c r="AF486" s="77"/>
      <c r="AG486" s="77"/>
      <c r="AH486" s="78"/>
      <c r="AI486" s="78"/>
      <c r="AJ486" s="78"/>
      <c r="AK486" s="78"/>
      <c r="AL486" s="78"/>
      <c r="AM486" s="78"/>
      <c r="AN486" s="76"/>
      <c r="AO486" s="76"/>
      <c r="AP486" s="76"/>
      <c r="AQ486" s="76"/>
      <c r="AR486" s="76"/>
      <c r="AS486" s="76"/>
      <c r="AT486" s="76"/>
      <c r="AU486" s="76"/>
      <c r="AV486" s="76"/>
      <c r="AW486" s="79"/>
      <c r="AX486" s="79"/>
      <c r="AY486" s="79"/>
      <c r="AZ486" s="79"/>
      <c r="BA486" s="79"/>
      <c r="BB486" s="11"/>
      <c r="BC486" s="11"/>
      <c r="BD486" s="11"/>
      <c r="BE486" s="73"/>
      <c r="BF486" s="73"/>
      <c r="BG486" s="73"/>
      <c r="BH486" s="77"/>
      <c r="BI486" s="77"/>
      <c r="BJ486" s="77"/>
      <c r="BK486" s="77"/>
      <c r="BL486" s="77"/>
      <c r="BM486" s="77"/>
      <c r="BN486" s="158"/>
      <c r="BO486" s="158"/>
    </row>
    <row r="487" spans="1:67" ht="15" x14ac:dyDescent="0.25">
      <c r="A487" s="71"/>
      <c r="B487" s="11"/>
      <c r="C487" s="11"/>
      <c r="D487" s="11"/>
      <c r="E487" s="11"/>
      <c r="F487" s="11"/>
      <c r="G487" s="11"/>
      <c r="H487" s="11"/>
      <c r="I487" s="11"/>
      <c r="J487" s="249"/>
      <c r="K487" s="72"/>
      <c r="L487" s="73"/>
      <c r="M487" s="73"/>
      <c r="N487" s="74"/>
      <c r="O487" s="75"/>
      <c r="P487" s="73"/>
      <c r="Q487" s="76"/>
      <c r="R487" s="76"/>
      <c r="S487" s="76"/>
      <c r="T487" s="76"/>
      <c r="U487" s="76"/>
      <c r="V487" s="76"/>
      <c r="W487" s="76"/>
      <c r="X487" s="76"/>
      <c r="Y487" s="76"/>
      <c r="Z487" s="77"/>
      <c r="AA487" s="77"/>
      <c r="AB487" s="77"/>
      <c r="AC487" s="77"/>
      <c r="AD487" s="77"/>
      <c r="AE487" s="77"/>
      <c r="AF487" s="77"/>
      <c r="AG487" s="77"/>
      <c r="AH487" s="78"/>
      <c r="AI487" s="78"/>
      <c r="AJ487" s="78"/>
      <c r="AK487" s="78"/>
      <c r="AL487" s="78"/>
      <c r="AM487" s="78"/>
      <c r="AN487" s="76"/>
      <c r="AO487" s="76"/>
      <c r="AP487" s="76"/>
      <c r="AQ487" s="76"/>
      <c r="AR487" s="76"/>
      <c r="AS487" s="76"/>
      <c r="AT487" s="76"/>
      <c r="AU487" s="76"/>
      <c r="AV487" s="76"/>
      <c r="AW487" s="79"/>
      <c r="AX487" s="79"/>
      <c r="AY487" s="79"/>
      <c r="AZ487" s="79"/>
      <c r="BA487" s="79"/>
      <c r="BB487" s="11"/>
      <c r="BC487" s="11"/>
      <c r="BD487" s="11"/>
      <c r="BE487" s="73"/>
      <c r="BF487" s="73"/>
      <c r="BG487" s="73"/>
      <c r="BH487" s="77"/>
      <c r="BI487" s="77"/>
      <c r="BJ487" s="77"/>
      <c r="BK487" s="77"/>
      <c r="BL487" s="77"/>
      <c r="BM487" s="77"/>
      <c r="BN487" s="158"/>
      <c r="BO487" s="158"/>
    </row>
    <row r="488" spans="1:67" ht="15" x14ac:dyDescent="0.25">
      <c r="A488" s="71"/>
      <c r="B488" s="11"/>
      <c r="C488" s="11"/>
      <c r="D488" s="11"/>
      <c r="E488" s="11"/>
      <c r="F488" s="11"/>
      <c r="G488" s="11"/>
      <c r="H488" s="11"/>
      <c r="I488" s="11"/>
      <c r="J488" s="249"/>
      <c r="K488" s="72"/>
      <c r="L488" s="73"/>
      <c r="M488" s="73"/>
      <c r="N488" s="74"/>
      <c r="O488" s="75"/>
      <c r="P488" s="73"/>
      <c r="Q488" s="76"/>
      <c r="R488" s="76"/>
      <c r="S488" s="76"/>
      <c r="T488" s="76"/>
      <c r="U488" s="76"/>
      <c r="V488" s="76"/>
      <c r="W488" s="76"/>
      <c r="X488" s="76"/>
      <c r="Y488" s="76"/>
      <c r="Z488" s="77"/>
      <c r="AA488" s="77"/>
      <c r="AB488" s="77"/>
      <c r="AC488" s="77"/>
      <c r="AD488" s="77"/>
      <c r="AE488" s="77"/>
      <c r="AF488" s="77"/>
      <c r="AG488" s="77"/>
      <c r="AH488" s="78"/>
      <c r="AI488" s="78"/>
      <c r="AJ488" s="78"/>
      <c r="AK488" s="78"/>
      <c r="AL488" s="78"/>
      <c r="AM488" s="78"/>
      <c r="AN488" s="76"/>
      <c r="AO488" s="76"/>
      <c r="AP488" s="76"/>
      <c r="AQ488" s="76"/>
      <c r="AR488" s="76"/>
      <c r="AS488" s="76"/>
      <c r="AT488" s="76"/>
      <c r="AU488" s="76"/>
      <c r="AV488" s="76"/>
      <c r="AW488" s="79"/>
      <c r="AX488" s="79"/>
      <c r="AY488" s="79"/>
      <c r="AZ488" s="79"/>
      <c r="BA488" s="79"/>
      <c r="BB488" s="11"/>
      <c r="BC488" s="11"/>
      <c r="BD488" s="11"/>
      <c r="BE488" s="73"/>
      <c r="BF488" s="73"/>
      <c r="BG488" s="73"/>
      <c r="BH488" s="77"/>
      <c r="BI488" s="77"/>
      <c r="BJ488" s="77"/>
      <c r="BK488" s="77"/>
      <c r="BL488" s="77"/>
      <c r="BM488" s="77"/>
      <c r="BN488" s="158"/>
      <c r="BO488" s="158"/>
    </row>
    <row r="489" spans="1:67" ht="15" x14ac:dyDescent="0.25">
      <c r="A489" s="71"/>
      <c r="B489" s="11"/>
      <c r="C489" s="11"/>
      <c r="D489" s="11"/>
      <c r="E489" s="11"/>
      <c r="F489" s="11"/>
      <c r="G489" s="11"/>
      <c r="H489" s="11"/>
      <c r="I489" s="11"/>
      <c r="J489" s="249"/>
      <c r="K489" s="72"/>
      <c r="L489" s="73"/>
      <c r="M489" s="73"/>
      <c r="N489" s="74"/>
      <c r="O489" s="75"/>
      <c r="P489" s="73"/>
      <c r="Q489" s="76"/>
      <c r="R489" s="76"/>
      <c r="S489" s="76"/>
      <c r="T489" s="76"/>
      <c r="U489" s="76"/>
      <c r="V489" s="76"/>
      <c r="W489" s="76"/>
      <c r="X489" s="76"/>
      <c r="Y489" s="76"/>
      <c r="Z489" s="77"/>
      <c r="AA489" s="77"/>
      <c r="AB489" s="77"/>
      <c r="AC489" s="77"/>
      <c r="AD489" s="77"/>
      <c r="AE489" s="77"/>
      <c r="AF489" s="77"/>
      <c r="AG489" s="77"/>
      <c r="AH489" s="78"/>
      <c r="AI489" s="78"/>
      <c r="AJ489" s="78"/>
      <c r="AK489" s="78"/>
      <c r="AL489" s="78"/>
      <c r="AM489" s="78"/>
      <c r="AN489" s="76"/>
      <c r="AO489" s="76"/>
      <c r="AP489" s="76"/>
      <c r="AQ489" s="76"/>
      <c r="AR489" s="76"/>
      <c r="AS489" s="76"/>
      <c r="AT489" s="76"/>
      <c r="AU489" s="76"/>
      <c r="AV489" s="76"/>
      <c r="AW489" s="79"/>
      <c r="AX489" s="79"/>
      <c r="AY489" s="79"/>
      <c r="AZ489" s="79"/>
      <c r="BA489" s="79"/>
      <c r="BB489" s="11"/>
      <c r="BC489" s="11"/>
      <c r="BD489" s="11"/>
      <c r="BE489" s="73"/>
      <c r="BF489" s="73"/>
      <c r="BG489" s="73"/>
      <c r="BH489" s="77"/>
      <c r="BI489" s="77"/>
      <c r="BJ489" s="77"/>
      <c r="BK489" s="77"/>
      <c r="BL489" s="77"/>
      <c r="BM489" s="77"/>
      <c r="BN489" s="158"/>
      <c r="BO489" s="158"/>
    </row>
    <row r="490" spans="1:67" ht="15" x14ac:dyDescent="0.25">
      <c r="A490" s="71"/>
      <c r="B490" s="11"/>
      <c r="C490" s="11"/>
      <c r="D490" s="11"/>
      <c r="E490" s="11"/>
      <c r="F490" s="11"/>
      <c r="G490" s="11"/>
      <c r="H490" s="11"/>
      <c r="I490" s="11"/>
      <c r="J490" s="249"/>
      <c r="K490" s="72"/>
      <c r="L490" s="73"/>
      <c r="M490" s="73"/>
      <c r="N490" s="74"/>
      <c r="O490" s="75"/>
      <c r="P490" s="73"/>
      <c r="Q490" s="76"/>
      <c r="R490" s="76"/>
      <c r="S490" s="76"/>
      <c r="T490" s="76"/>
      <c r="U490" s="76"/>
      <c r="V490" s="76"/>
      <c r="W490" s="76"/>
      <c r="X490" s="76"/>
      <c r="Y490" s="76"/>
      <c r="Z490" s="77"/>
      <c r="AA490" s="77"/>
      <c r="AB490" s="77"/>
      <c r="AC490" s="77"/>
      <c r="AD490" s="77"/>
      <c r="AE490" s="77"/>
      <c r="AF490" s="77"/>
      <c r="AG490" s="77"/>
      <c r="AH490" s="78"/>
      <c r="AI490" s="78"/>
      <c r="AJ490" s="78"/>
      <c r="AK490" s="78"/>
      <c r="AL490" s="78"/>
      <c r="AM490" s="78"/>
      <c r="AN490" s="76"/>
      <c r="AO490" s="76"/>
      <c r="AP490" s="76"/>
      <c r="AQ490" s="76"/>
      <c r="AR490" s="76"/>
      <c r="AS490" s="76"/>
      <c r="AT490" s="76"/>
      <c r="AU490" s="76"/>
      <c r="AV490" s="76"/>
      <c r="AW490" s="79"/>
      <c r="AX490" s="79"/>
      <c r="AY490" s="79"/>
      <c r="AZ490" s="79"/>
      <c r="BA490" s="79"/>
      <c r="BB490" s="11"/>
      <c r="BC490" s="11"/>
      <c r="BD490" s="11"/>
      <c r="BE490" s="73"/>
      <c r="BF490" s="73"/>
      <c r="BG490" s="73"/>
      <c r="BH490" s="77"/>
      <c r="BI490" s="77"/>
      <c r="BJ490" s="77"/>
      <c r="BK490" s="77"/>
      <c r="BL490" s="77"/>
      <c r="BM490" s="77"/>
      <c r="BN490" s="158"/>
      <c r="BO490" s="158"/>
    </row>
    <row r="491" spans="1:67" ht="15" x14ac:dyDescent="0.25">
      <c r="A491" s="71"/>
      <c r="B491" s="11"/>
      <c r="C491" s="11"/>
      <c r="D491" s="11"/>
      <c r="E491" s="11"/>
      <c r="F491" s="11"/>
      <c r="G491" s="11"/>
      <c r="H491" s="11"/>
      <c r="I491" s="11"/>
      <c r="J491" s="249"/>
      <c r="K491" s="72"/>
      <c r="L491" s="73"/>
      <c r="M491" s="73"/>
      <c r="N491" s="74"/>
      <c r="O491" s="75"/>
      <c r="P491" s="73"/>
      <c r="Q491" s="76"/>
      <c r="R491" s="76"/>
      <c r="S491" s="76"/>
      <c r="T491" s="76"/>
      <c r="U491" s="76"/>
      <c r="V491" s="76"/>
      <c r="W491" s="76"/>
      <c r="X491" s="76"/>
      <c r="Y491" s="76"/>
      <c r="Z491" s="77"/>
      <c r="AA491" s="77"/>
      <c r="AB491" s="77"/>
      <c r="AC491" s="77"/>
      <c r="AD491" s="77"/>
      <c r="AE491" s="77"/>
      <c r="AF491" s="77"/>
      <c r="AG491" s="77"/>
      <c r="AH491" s="78"/>
      <c r="AI491" s="78"/>
      <c r="AJ491" s="78"/>
      <c r="AK491" s="78"/>
      <c r="AL491" s="78"/>
      <c r="AM491" s="78"/>
      <c r="AN491" s="76"/>
      <c r="AO491" s="76"/>
      <c r="AP491" s="76"/>
      <c r="AQ491" s="76"/>
      <c r="AR491" s="76"/>
      <c r="AS491" s="76"/>
      <c r="AT491" s="76"/>
      <c r="AU491" s="76"/>
      <c r="AV491" s="76"/>
      <c r="AW491" s="79"/>
      <c r="AX491" s="79"/>
      <c r="AY491" s="79"/>
      <c r="AZ491" s="79"/>
      <c r="BA491" s="79"/>
      <c r="BB491" s="11"/>
      <c r="BC491" s="11"/>
      <c r="BD491" s="11"/>
      <c r="BE491" s="73"/>
      <c r="BF491" s="73"/>
      <c r="BG491" s="73"/>
      <c r="BH491" s="77"/>
      <c r="BI491" s="77"/>
      <c r="BJ491" s="77"/>
      <c r="BK491" s="77"/>
      <c r="BL491" s="77"/>
      <c r="BM491" s="77"/>
      <c r="BN491" s="158"/>
      <c r="BO491" s="158"/>
    </row>
    <row r="492" spans="1:67" ht="15" x14ac:dyDescent="0.25">
      <c r="A492" s="71"/>
      <c r="B492" s="11"/>
      <c r="C492" s="11"/>
      <c r="D492" s="11"/>
      <c r="E492" s="11"/>
      <c r="F492" s="11"/>
      <c r="G492" s="11"/>
      <c r="H492" s="11"/>
      <c r="I492" s="11"/>
      <c r="J492" s="249"/>
      <c r="K492" s="72"/>
      <c r="L492" s="73"/>
      <c r="M492" s="73"/>
      <c r="N492" s="74"/>
      <c r="O492" s="75"/>
      <c r="P492" s="73"/>
      <c r="Q492" s="76"/>
      <c r="R492" s="76"/>
      <c r="S492" s="76"/>
      <c r="T492" s="76"/>
      <c r="U492" s="76"/>
      <c r="V492" s="76"/>
      <c r="W492" s="76"/>
      <c r="X492" s="76"/>
      <c r="Y492" s="76"/>
      <c r="Z492" s="77"/>
      <c r="AA492" s="77"/>
      <c r="AB492" s="77"/>
      <c r="AC492" s="77"/>
      <c r="AD492" s="77"/>
      <c r="AE492" s="77"/>
      <c r="AF492" s="77"/>
      <c r="AG492" s="77"/>
      <c r="AH492" s="78"/>
      <c r="AI492" s="78"/>
      <c r="AJ492" s="78"/>
      <c r="AK492" s="78"/>
      <c r="AL492" s="78"/>
      <c r="AM492" s="78"/>
      <c r="AN492" s="76"/>
      <c r="AO492" s="76"/>
      <c r="AP492" s="76"/>
      <c r="AQ492" s="76"/>
      <c r="AR492" s="76"/>
      <c r="AS492" s="76"/>
      <c r="AT492" s="76"/>
      <c r="AU492" s="76"/>
      <c r="AV492" s="76"/>
      <c r="AW492" s="79"/>
      <c r="AX492" s="79"/>
      <c r="AY492" s="79"/>
      <c r="AZ492" s="79"/>
      <c r="BA492" s="79"/>
      <c r="BB492" s="11"/>
      <c r="BC492" s="11"/>
      <c r="BD492" s="11"/>
      <c r="BE492" s="73"/>
      <c r="BF492" s="73"/>
      <c r="BG492" s="73"/>
      <c r="BH492" s="77"/>
      <c r="BI492" s="77"/>
      <c r="BJ492" s="77"/>
      <c r="BK492" s="77"/>
      <c r="BL492" s="77"/>
      <c r="BM492" s="77"/>
      <c r="BN492" s="158"/>
      <c r="BO492" s="158"/>
    </row>
    <row r="493" spans="1:67" ht="15" x14ac:dyDescent="0.25">
      <c r="A493" s="71"/>
      <c r="B493" s="11"/>
      <c r="C493" s="11"/>
      <c r="D493" s="11"/>
      <c r="E493" s="11"/>
      <c r="F493" s="11"/>
      <c r="G493" s="11"/>
      <c r="H493" s="11"/>
      <c r="I493" s="11"/>
      <c r="J493" s="249"/>
      <c r="K493" s="72"/>
      <c r="L493" s="73"/>
      <c r="M493" s="73"/>
      <c r="N493" s="74"/>
      <c r="O493" s="75"/>
      <c r="P493" s="73"/>
      <c r="Q493" s="76"/>
      <c r="R493" s="76"/>
      <c r="S493" s="76"/>
      <c r="T493" s="76"/>
      <c r="U493" s="76"/>
      <c r="V493" s="76"/>
      <c r="W493" s="76"/>
      <c r="X493" s="76"/>
      <c r="Y493" s="76"/>
      <c r="Z493" s="77"/>
      <c r="AA493" s="77"/>
      <c r="AB493" s="77"/>
      <c r="AC493" s="77"/>
      <c r="AD493" s="77"/>
      <c r="AE493" s="77"/>
      <c r="AF493" s="77"/>
      <c r="AG493" s="77"/>
      <c r="AH493" s="78"/>
      <c r="AI493" s="78"/>
      <c r="AJ493" s="78"/>
      <c r="AK493" s="78"/>
      <c r="AL493" s="78"/>
      <c r="AM493" s="78"/>
      <c r="AN493" s="76"/>
      <c r="AO493" s="76"/>
      <c r="AP493" s="76"/>
      <c r="AQ493" s="76"/>
      <c r="AR493" s="76"/>
      <c r="AS493" s="76"/>
      <c r="AT493" s="76"/>
      <c r="AU493" s="76"/>
      <c r="AV493" s="76"/>
      <c r="AW493" s="79"/>
      <c r="AX493" s="79"/>
      <c r="AY493" s="79"/>
      <c r="AZ493" s="79"/>
      <c r="BA493" s="79"/>
      <c r="BB493" s="11"/>
      <c r="BC493" s="11"/>
      <c r="BD493" s="11"/>
      <c r="BE493" s="73"/>
      <c r="BF493" s="73"/>
      <c r="BG493" s="73"/>
      <c r="BH493" s="77"/>
      <c r="BI493" s="77"/>
      <c r="BJ493" s="77"/>
      <c r="BK493" s="77"/>
      <c r="BL493" s="77"/>
      <c r="BM493" s="77"/>
      <c r="BN493" s="158"/>
      <c r="BO493" s="158"/>
    </row>
    <row r="494" spans="1:67" ht="15" x14ac:dyDescent="0.25">
      <c r="A494" s="71"/>
      <c r="B494" s="11"/>
      <c r="C494" s="11"/>
      <c r="D494" s="11"/>
      <c r="E494" s="11"/>
      <c r="F494" s="11"/>
      <c r="G494" s="11"/>
      <c r="H494" s="11"/>
      <c r="I494" s="11"/>
      <c r="J494" s="249"/>
      <c r="K494" s="72"/>
      <c r="L494" s="73"/>
      <c r="M494" s="73"/>
      <c r="N494" s="74"/>
      <c r="O494" s="75"/>
      <c r="P494" s="73"/>
      <c r="Q494" s="76"/>
      <c r="R494" s="76"/>
      <c r="S494" s="76"/>
      <c r="T494" s="76"/>
      <c r="U494" s="76"/>
      <c r="V494" s="76"/>
      <c r="W494" s="76"/>
      <c r="X494" s="76"/>
      <c r="Y494" s="76"/>
      <c r="Z494" s="77"/>
      <c r="AA494" s="77"/>
      <c r="AB494" s="77"/>
      <c r="AC494" s="77"/>
      <c r="AD494" s="77"/>
      <c r="AE494" s="77"/>
      <c r="AF494" s="77"/>
      <c r="AG494" s="77"/>
      <c r="AH494" s="78"/>
      <c r="AI494" s="78"/>
      <c r="AJ494" s="78"/>
      <c r="AK494" s="78"/>
      <c r="AL494" s="78"/>
      <c r="AM494" s="78"/>
      <c r="AN494" s="76"/>
      <c r="AO494" s="76"/>
      <c r="AP494" s="76"/>
      <c r="AQ494" s="76"/>
      <c r="AR494" s="76"/>
      <c r="AS494" s="76"/>
      <c r="AT494" s="76"/>
      <c r="AU494" s="76"/>
      <c r="AV494" s="76"/>
      <c r="AW494" s="79"/>
      <c r="AX494" s="79"/>
      <c r="AY494" s="79"/>
      <c r="AZ494" s="79"/>
      <c r="BA494" s="79"/>
      <c r="BB494" s="11"/>
      <c r="BC494" s="11"/>
      <c r="BD494" s="11"/>
      <c r="BE494" s="73"/>
      <c r="BF494" s="73"/>
      <c r="BG494" s="73"/>
      <c r="BH494" s="77"/>
      <c r="BI494" s="77"/>
      <c r="BJ494" s="77"/>
      <c r="BK494" s="77"/>
      <c r="BL494" s="77"/>
      <c r="BM494" s="77"/>
      <c r="BN494" s="158"/>
      <c r="BO494" s="158"/>
    </row>
    <row r="495" spans="1:67" ht="15" x14ac:dyDescent="0.25">
      <c r="A495" s="71"/>
      <c r="B495" s="11"/>
      <c r="C495" s="11"/>
      <c r="D495" s="11"/>
      <c r="E495" s="11"/>
      <c r="F495" s="11"/>
      <c r="G495" s="11"/>
      <c r="H495" s="11"/>
      <c r="I495" s="11"/>
      <c r="J495" s="249"/>
      <c r="K495" s="72"/>
      <c r="L495" s="73"/>
      <c r="M495" s="73"/>
      <c r="N495" s="74"/>
      <c r="O495" s="75"/>
      <c r="P495" s="73"/>
      <c r="Q495" s="76"/>
      <c r="R495" s="76"/>
      <c r="S495" s="76"/>
      <c r="T495" s="76"/>
      <c r="U495" s="76"/>
      <c r="V495" s="76"/>
      <c r="W495" s="76"/>
      <c r="X495" s="76"/>
      <c r="Y495" s="76"/>
      <c r="Z495" s="77"/>
      <c r="AA495" s="77"/>
      <c r="AB495" s="77"/>
      <c r="AC495" s="77"/>
      <c r="AD495" s="77"/>
      <c r="AE495" s="77"/>
      <c r="AF495" s="77"/>
      <c r="AG495" s="77"/>
      <c r="AH495" s="78"/>
      <c r="AI495" s="78"/>
      <c r="AJ495" s="78"/>
      <c r="AK495" s="78"/>
      <c r="AL495" s="78"/>
      <c r="AM495" s="78"/>
      <c r="AN495" s="76"/>
      <c r="AO495" s="76"/>
      <c r="AP495" s="76"/>
      <c r="AQ495" s="76"/>
      <c r="AR495" s="76"/>
      <c r="AS495" s="76"/>
      <c r="AT495" s="76"/>
      <c r="AU495" s="76"/>
      <c r="AV495" s="76"/>
      <c r="AW495" s="79"/>
      <c r="AX495" s="79"/>
      <c r="AY495" s="79"/>
      <c r="AZ495" s="79"/>
      <c r="BA495" s="79"/>
      <c r="BB495" s="11"/>
      <c r="BC495" s="11"/>
      <c r="BD495" s="11"/>
      <c r="BE495" s="73"/>
      <c r="BF495" s="73"/>
      <c r="BG495" s="73"/>
      <c r="BH495" s="77"/>
      <c r="BI495" s="77"/>
      <c r="BJ495" s="77"/>
      <c r="BK495" s="77"/>
      <c r="BL495" s="77"/>
      <c r="BM495" s="77"/>
      <c r="BN495" s="158"/>
      <c r="BO495" s="158"/>
    </row>
    <row r="496" spans="1:67" ht="15" x14ac:dyDescent="0.25">
      <c r="A496" s="71"/>
      <c r="B496" s="11"/>
      <c r="C496" s="11"/>
      <c r="D496" s="11"/>
      <c r="E496" s="11"/>
      <c r="F496" s="11"/>
      <c r="G496" s="11"/>
      <c r="H496" s="11"/>
      <c r="I496" s="11"/>
      <c r="J496" s="249"/>
      <c r="K496" s="72"/>
      <c r="L496" s="73"/>
      <c r="M496" s="73"/>
      <c r="N496" s="74"/>
      <c r="O496" s="75"/>
      <c r="P496" s="73"/>
      <c r="Q496" s="76"/>
      <c r="R496" s="76"/>
      <c r="S496" s="76"/>
      <c r="T496" s="76"/>
      <c r="U496" s="76"/>
      <c r="V496" s="76"/>
      <c r="W496" s="76"/>
      <c r="X496" s="76"/>
      <c r="Y496" s="76"/>
      <c r="Z496" s="77"/>
      <c r="AA496" s="77"/>
      <c r="AB496" s="77"/>
      <c r="AC496" s="77"/>
      <c r="AD496" s="77"/>
      <c r="AE496" s="77"/>
      <c r="AF496" s="77"/>
      <c r="AG496" s="77"/>
      <c r="AH496" s="78"/>
      <c r="AI496" s="78"/>
      <c r="AJ496" s="78"/>
      <c r="AK496" s="78"/>
      <c r="AL496" s="78"/>
      <c r="AM496" s="78"/>
      <c r="AN496" s="76"/>
      <c r="AO496" s="76"/>
      <c r="AP496" s="76"/>
      <c r="AQ496" s="76"/>
      <c r="AR496" s="76"/>
      <c r="AS496" s="76"/>
      <c r="AT496" s="76"/>
      <c r="AU496" s="76"/>
      <c r="AV496" s="76"/>
      <c r="AW496" s="79"/>
      <c r="AX496" s="79"/>
      <c r="AY496" s="79"/>
      <c r="AZ496" s="79"/>
      <c r="BA496" s="79"/>
      <c r="BB496" s="11"/>
      <c r="BC496" s="11"/>
      <c r="BD496" s="11"/>
      <c r="BE496" s="73"/>
      <c r="BF496" s="73"/>
      <c r="BG496" s="73"/>
      <c r="BH496" s="77"/>
      <c r="BI496" s="77"/>
      <c r="BJ496" s="77"/>
      <c r="BK496" s="77"/>
      <c r="BL496" s="77"/>
      <c r="BM496" s="77"/>
      <c r="BN496" s="158"/>
      <c r="BO496" s="158"/>
    </row>
    <row r="497" spans="1:67" ht="15" x14ac:dyDescent="0.25">
      <c r="A497" s="71"/>
      <c r="B497" s="11"/>
      <c r="C497" s="11"/>
      <c r="D497" s="11"/>
      <c r="E497" s="11"/>
      <c r="F497" s="11"/>
      <c r="G497" s="11"/>
      <c r="H497" s="11"/>
      <c r="I497" s="11"/>
      <c r="J497" s="249"/>
      <c r="K497" s="72"/>
      <c r="L497" s="73"/>
      <c r="M497" s="73"/>
      <c r="N497" s="74"/>
      <c r="O497" s="75"/>
      <c r="P497" s="73"/>
      <c r="Q497" s="76"/>
      <c r="R497" s="76"/>
      <c r="S497" s="76"/>
      <c r="T497" s="76"/>
      <c r="U497" s="76"/>
      <c r="V497" s="76"/>
      <c r="W497" s="76"/>
      <c r="X497" s="76"/>
      <c r="Y497" s="76"/>
      <c r="Z497" s="77"/>
      <c r="AA497" s="77"/>
      <c r="AB497" s="77"/>
      <c r="AC497" s="77"/>
      <c r="AD497" s="77"/>
      <c r="AE497" s="77"/>
      <c r="AF497" s="77"/>
      <c r="AG497" s="77"/>
      <c r="AH497" s="78"/>
      <c r="AI497" s="78"/>
      <c r="AJ497" s="78"/>
      <c r="AK497" s="78"/>
      <c r="AL497" s="78"/>
      <c r="AM497" s="78"/>
      <c r="AN497" s="76"/>
      <c r="AO497" s="76"/>
      <c r="AP497" s="76"/>
      <c r="AQ497" s="76"/>
      <c r="AR497" s="76"/>
      <c r="AS497" s="76"/>
      <c r="AT497" s="76"/>
      <c r="AU497" s="76"/>
      <c r="AV497" s="76"/>
      <c r="AW497" s="79"/>
      <c r="AX497" s="79"/>
      <c r="AY497" s="79"/>
      <c r="AZ497" s="79"/>
      <c r="BA497" s="79"/>
      <c r="BB497" s="11"/>
      <c r="BC497" s="11"/>
      <c r="BD497" s="11"/>
      <c r="BE497" s="73"/>
      <c r="BF497" s="73"/>
      <c r="BG497" s="73"/>
      <c r="BH497" s="77"/>
      <c r="BI497" s="77"/>
      <c r="BJ497" s="77"/>
      <c r="BK497" s="77"/>
      <c r="BL497" s="77"/>
      <c r="BM497" s="77"/>
      <c r="BN497" s="158"/>
      <c r="BO497" s="158"/>
    </row>
    <row r="498" spans="1:67" ht="15" x14ac:dyDescent="0.25">
      <c r="A498" s="71"/>
      <c r="B498" s="11"/>
      <c r="C498" s="11"/>
      <c r="D498" s="11"/>
      <c r="E498" s="11"/>
      <c r="F498" s="11"/>
      <c r="G498" s="11"/>
      <c r="H498" s="11"/>
      <c r="I498" s="11"/>
      <c r="J498" s="249"/>
      <c r="K498" s="72"/>
      <c r="L498" s="73"/>
      <c r="M498" s="73"/>
      <c r="N498" s="74"/>
      <c r="O498" s="75"/>
      <c r="P498" s="73"/>
      <c r="Q498" s="76"/>
      <c r="R498" s="76"/>
      <c r="S498" s="76"/>
      <c r="T498" s="76"/>
      <c r="U498" s="76"/>
      <c r="V498" s="76"/>
      <c r="W498" s="76"/>
      <c r="X498" s="76"/>
      <c r="Y498" s="76"/>
      <c r="Z498" s="77"/>
      <c r="AA498" s="77"/>
      <c r="AB498" s="77"/>
      <c r="AC498" s="77"/>
      <c r="AD498" s="77"/>
      <c r="AE498" s="77"/>
      <c r="AF498" s="77"/>
      <c r="AG498" s="77"/>
      <c r="AH498" s="78"/>
      <c r="AI498" s="78"/>
      <c r="AJ498" s="78"/>
      <c r="AK498" s="78"/>
      <c r="AL498" s="78"/>
      <c r="AM498" s="78"/>
      <c r="AN498" s="76"/>
      <c r="AO498" s="76"/>
      <c r="AP498" s="76"/>
      <c r="AQ498" s="76"/>
      <c r="AR498" s="76"/>
      <c r="AS498" s="76"/>
      <c r="AT498" s="76"/>
      <c r="AU498" s="76"/>
      <c r="AV498" s="76"/>
      <c r="AW498" s="79"/>
      <c r="AX498" s="79"/>
      <c r="AY498" s="79"/>
      <c r="AZ498" s="79"/>
      <c r="BA498" s="79"/>
      <c r="BB498" s="11"/>
      <c r="BC498" s="11"/>
      <c r="BD498" s="11"/>
      <c r="BE498" s="73"/>
      <c r="BF498" s="73"/>
      <c r="BG498" s="73"/>
      <c r="BH498" s="77"/>
      <c r="BI498" s="77"/>
      <c r="BJ498" s="77"/>
      <c r="BK498" s="77"/>
      <c r="BL498" s="77"/>
      <c r="BM498" s="77"/>
      <c r="BN498" s="158"/>
      <c r="BO498" s="158"/>
    </row>
    <row r="499" spans="1:67" ht="15" x14ac:dyDescent="0.25">
      <c r="A499" s="71"/>
      <c r="B499" s="11"/>
      <c r="C499" s="11"/>
      <c r="D499" s="11"/>
      <c r="E499" s="11"/>
      <c r="F499" s="11"/>
      <c r="G499" s="11"/>
      <c r="H499" s="11"/>
      <c r="I499" s="11"/>
      <c r="J499" s="249"/>
      <c r="K499" s="72"/>
      <c r="L499" s="73"/>
      <c r="M499" s="73"/>
      <c r="N499" s="74"/>
      <c r="O499" s="75"/>
      <c r="P499" s="73"/>
      <c r="Q499" s="76"/>
      <c r="R499" s="76"/>
      <c r="S499" s="76"/>
      <c r="T499" s="76"/>
      <c r="U499" s="76"/>
      <c r="V499" s="76"/>
      <c r="W499" s="76"/>
      <c r="X499" s="76"/>
      <c r="Y499" s="76"/>
      <c r="Z499" s="77"/>
      <c r="AA499" s="77"/>
      <c r="AB499" s="77"/>
      <c r="AC499" s="77"/>
      <c r="AD499" s="77"/>
      <c r="AE499" s="77"/>
      <c r="AF499" s="77"/>
      <c r="AG499" s="77"/>
      <c r="AH499" s="78"/>
      <c r="AI499" s="78"/>
      <c r="AJ499" s="78"/>
      <c r="AK499" s="78"/>
      <c r="AL499" s="78"/>
      <c r="AM499" s="78"/>
      <c r="AN499" s="76"/>
      <c r="AO499" s="76"/>
      <c r="AP499" s="76"/>
      <c r="AQ499" s="76"/>
      <c r="AR499" s="76"/>
      <c r="AS499" s="76"/>
      <c r="AT499" s="76"/>
      <c r="AU499" s="76"/>
      <c r="AV499" s="76"/>
      <c r="AW499" s="79"/>
      <c r="AX499" s="79"/>
      <c r="AY499" s="79"/>
      <c r="AZ499" s="79"/>
      <c r="BA499" s="79"/>
      <c r="BB499" s="11"/>
      <c r="BC499" s="11"/>
      <c r="BD499" s="11"/>
      <c r="BE499" s="73"/>
      <c r="BF499" s="73"/>
      <c r="BG499" s="73"/>
      <c r="BH499" s="77"/>
      <c r="BI499" s="77"/>
      <c r="BJ499" s="77"/>
      <c r="BK499" s="77"/>
      <c r="BL499" s="77"/>
      <c r="BM499" s="77"/>
      <c r="BN499" s="158"/>
      <c r="BO499" s="158"/>
    </row>
    <row r="500" spans="1:67" ht="15" x14ac:dyDescent="0.25">
      <c r="A500" s="71"/>
      <c r="B500" s="11"/>
      <c r="C500" s="11"/>
      <c r="D500" s="11"/>
      <c r="E500" s="11"/>
      <c r="F500" s="11"/>
      <c r="G500" s="11"/>
      <c r="H500" s="11"/>
      <c r="I500" s="11"/>
      <c r="J500" s="249"/>
      <c r="K500" s="72"/>
      <c r="L500" s="73"/>
      <c r="M500" s="73"/>
      <c r="N500" s="74"/>
      <c r="O500" s="75"/>
      <c r="P500" s="73"/>
      <c r="Q500" s="76"/>
      <c r="R500" s="76"/>
      <c r="S500" s="76"/>
      <c r="T500" s="76"/>
      <c r="U500" s="76"/>
      <c r="V500" s="76"/>
      <c r="W500" s="76"/>
      <c r="X500" s="76"/>
      <c r="Y500" s="76"/>
      <c r="Z500" s="77"/>
      <c r="AA500" s="77"/>
      <c r="AB500" s="77"/>
      <c r="AC500" s="77"/>
      <c r="AD500" s="77"/>
      <c r="AE500" s="77"/>
      <c r="AF500" s="77"/>
      <c r="AG500" s="77"/>
      <c r="AH500" s="78"/>
      <c r="AI500" s="78"/>
      <c r="AJ500" s="78"/>
      <c r="AK500" s="78"/>
      <c r="AL500" s="78"/>
      <c r="AM500" s="78"/>
      <c r="AN500" s="76"/>
      <c r="AO500" s="76"/>
      <c r="AP500" s="76"/>
      <c r="AQ500" s="76"/>
      <c r="AR500" s="76"/>
      <c r="AS500" s="76"/>
      <c r="AT500" s="76"/>
      <c r="AU500" s="76"/>
      <c r="AV500" s="76"/>
      <c r="AW500" s="79"/>
      <c r="AX500" s="79"/>
      <c r="AY500" s="79"/>
      <c r="AZ500" s="79"/>
      <c r="BA500" s="79"/>
      <c r="BB500" s="11"/>
      <c r="BC500" s="11"/>
      <c r="BD500" s="11"/>
      <c r="BE500" s="73"/>
      <c r="BF500" s="73"/>
      <c r="BG500" s="73"/>
      <c r="BH500" s="77"/>
      <c r="BI500" s="77"/>
      <c r="BJ500" s="77"/>
      <c r="BK500" s="77"/>
      <c r="BL500" s="77"/>
      <c r="BM500" s="77"/>
      <c r="BN500" s="158"/>
      <c r="BO500" s="158"/>
    </row>
    <row r="501" spans="1:67" ht="15" x14ac:dyDescent="0.25">
      <c r="A501" s="71"/>
      <c r="B501" s="11"/>
      <c r="C501" s="11"/>
      <c r="D501" s="11"/>
      <c r="E501" s="11"/>
      <c r="F501" s="11"/>
      <c r="G501" s="11"/>
      <c r="H501" s="11"/>
      <c r="I501" s="11"/>
      <c r="J501" s="249"/>
      <c r="K501" s="72"/>
      <c r="L501" s="73"/>
      <c r="M501" s="73"/>
      <c r="N501" s="74"/>
      <c r="O501" s="75"/>
      <c r="P501" s="73"/>
      <c r="Q501" s="76"/>
      <c r="R501" s="76"/>
      <c r="S501" s="76"/>
      <c r="T501" s="76"/>
      <c r="U501" s="76"/>
      <c r="V501" s="76"/>
      <c r="W501" s="76"/>
      <c r="X501" s="76"/>
      <c r="Y501" s="76"/>
      <c r="Z501" s="77"/>
      <c r="AA501" s="77"/>
      <c r="AB501" s="77"/>
      <c r="AC501" s="77"/>
      <c r="AD501" s="77"/>
      <c r="AE501" s="77"/>
      <c r="AF501" s="77"/>
      <c r="AG501" s="77"/>
      <c r="AH501" s="78"/>
      <c r="AI501" s="78"/>
      <c r="AJ501" s="78"/>
      <c r="AK501" s="78"/>
      <c r="AL501" s="78"/>
      <c r="AM501" s="78"/>
      <c r="AN501" s="76"/>
      <c r="AO501" s="76"/>
      <c r="AP501" s="76"/>
      <c r="AQ501" s="76"/>
      <c r="AR501" s="76"/>
      <c r="AS501" s="76"/>
      <c r="AT501" s="76"/>
      <c r="AU501" s="76"/>
      <c r="AV501" s="76"/>
      <c r="AW501" s="79"/>
      <c r="AX501" s="79"/>
      <c r="AY501" s="79"/>
      <c r="AZ501" s="79"/>
      <c r="BA501" s="79"/>
      <c r="BB501" s="11"/>
      <c r="BC501" s="11"/>
      <c r="BD501" s="11"/>
      <c r="BE501" s="73"/>
      <c r="BF501" s="73"/>
      <c r="BG501" s="73"/>
      <c r="BH501" s="77"/>
      <c r="BI501" s="77"/>
      <c r="BJ501" s="77"/>
      <c r="BK501" s="77"/>
      <c r="BL501" s="77"/>
      <c r="BM501" s="77"/>
      <c r="BN501" s="158"/>
      <c r="BO501" s="158"/>
    </row>
    <row r="502" spans="1:67" ht="15" x14ac:dyDescent="0.25">
      <c r="A502" s="71"/>
      <c r="B502" s="11"/>
      <c r="C502" s="11"/>
      <c r="D502" s="11"/>
      <c r="E502" s="11"/>
      <c r="F502" s="11"/>
      <c r="G502" s="11"/>
      <c r="H502" s="11"/>
      <c r="I502" s="11"/>
      <c r="J502" s="249"/>
      <c r="K502" s="72"/>
      <c r="L502" s="73"/>
      <c r="M502" s="73"/>
      <c r="N502" s="74"/>
      <c r="O502" s="75"/>
      <c r="P502" s="73"/>
      <c r="Q502" s="76"/>
      <c r="R502" s="76"/>
      <c r="S502" s="76"/>
      <c r="T502" s="76"/>
      <c r="U502" s="76"/>
      <c r="V502" s="76"/>
      <c r="W502" s="76"/>
      <c r="X502" s="76"/>
      <c r="Y502" s="76"/>
      <c r="Z502" s="77"/>
      <c r="AA502" s="77"/>
      <c r="AB502" s="77"/>
      <c r="AC502" s="77"/>
      <c r="AD502" s="77"/>
      <c r="AE502" s="77"/>
      <c r="AF502" s="77"/>
      <c r="AG502" s="77"/>
      <c r="AH502" s="78"/>
      <c r="AI502" s="78"/>
      <c r="AJ502" s="78"/>
      <c r="AK502" s="78"/>
      <c r="AL502" s="78"/>
      <c r="AM502" s="78"/>
      <c r="AN502" s="76"/>
      <c r="AO502" s="76"/>
      <c r="AP502" s="76"/>
      <c r="AQ502" s="76"/>
      <c r="AR502" s="76"/>
      <c r="AS502" s="76"/>
      <c r="AT502" s="76"/>
      <c r="AU502" s="76"/>
      <c r="AV502" s="76"/>
      <c r="AW502" s="79"/>
      <c r="AX502" s="79"/>
      <c r="AY502" s="79"/>
      <c r="AZ502" s="79"/>
      <c r="BA502" s="79"/>
      <c r="BB502" s="11"/>
      <c r="BC502" s="11"/>
      <c r="BD502" s="11"/>
      <c r="BE502" s="73"/>
      <c r="BF502" s="73"/>
      <c r="BG502" s="73"/>
      <c r="BH502" s="77"/>
      <c r="BI502" s="77"/>
      <c r="BJ502" s="77"/>
      <c r="BK502" s="77"/>
      <c r="BL502" s="77"/>
      <c r="BM502" s="77"/>
      <c r="BN502" s="158"/>
      <c r="BO502" s="158"/>
    </row>
    <row r="503" spans="1:67" ht="15" x14ac:dyDescent="0.25">
      <c r="A503" s="71"/>
      <c r="B503" s="11"/>
      <c r="C503" s="11"/>
      <c r="D503" s="11"/>
      <c r="E503" s="11"/>
      <c r="F503" s="11"/>
      <c r="G503" s="11"/>
      <c r="H503" s="11"/>
      <c r="I503" s="11"/>
      <c r="J503" s="249"/>
      <c r="K503" s="72"/>
      <c r="L503" s="73"/>
      <c r="M503" s="73"/>
      <c r="N503" s="74"/>
      <c r="O503" s="75"/>
      <c r="P503" s="73"/>
      <c r="Q503" s="76"/>
      <c r="R503" s="76"/>
      <c r="S503" s="76"/>
      <c r="T503" s="76"/>
      <c r="U503" s="76"/>
      <c r="V503" s="76"/>
      <c r="W503" s="76"/>
      <c r="X503" s="76"/>
      <c r="Y503" s="76"/>
      <c r="Z503" s="77"/>
      <c r="AA503" s="77"/>
      <c r="AB503" s="77"/>
      <c r="AC503" s="77"/>
      <c r="AD503" s="77"/>
      <c r="AE503" s="77"/>
      <c r="AF503" s="77"/>
      <c r="AG503" s="77"/>
      <c r="AH503" s="78"/>
      <c r="AI503" s="78"/>
      <c r="AJ503" s="78"/>
      <c r="AK503" s="78"/>
      <c r="AL503" s="78"/>
      <c r="AM503" s="78"/>
      <c r="AN503" s="76"/>
      <c r="AO503" s="76"/>
      <c r="AP503" s="76"/>
      <c r="AQ503" s="76"/>
      <c r="AR503" s="76"/>
      <c r="AS503" s="76"/>
      <c r="AT503" s="76"/>
      <c r="AU503" s="76"/>
      <c r="AV503" s="76"/>
      <c r="AW503" s="79"/>
      <c r="AX503" s="79"/>
      <c r="AY503" s="79"/>
      <c r="AZ503" s="79"/>
      <c r="BA503" s="79"/>
      <c r="BB503" s="11"/>
      <c r="BC503" s="11"/>
      <c r="BD503" s="11"/>
      <c r="BE503" s="73"/>
      <c r="BF503" s="73"/>
      <c r="BG503" s="73"/>
      <c r="BH503" s="77"/>
      <c r="BI503" s="77"/>
      <c r="BJ503" s="77"/>
      <c r="BK503" s="77"/>
      <c r="BL503" s="77"/>
      <c r="BM503" s="77"/>
      <c r="BN503" s="158"/>
      <c r="BO503" s="158"/>
    </row>
    <row r="504" spans="1:67" ht="15" x14ac:dyDescent="0.25">
      <c r="A504" s="71"/>
      <c r="B504" s="11"/>
      <c r="C504" s="11"/>
      <c r="D504" s="11"/>
      <c r="E504" s="11"/>
      <c r="F504" s="11"/>
      <c r="G504" s="11"/>
      <c r="H504" s="11"/>
      <c r="I504" s="11"/>
      <c r="J504" s="249"/>
      <c r="K504" s="72"/>
      <c r="L504" s="73"/>
      <c r="M504" s="73"/>
      <c r="N504" s="74"/>
      <c r="O504" s="75"/>
      <c r="P504" s="73"/>
      <c r="Q504" s="76"/>
      <c r="R504" s="76"/>
      <c r="S504" s="76"/>
      <c r="T504" s="76"/>
      <c r="U504" s="76"/>
      <c r="V504" s="76"/>
      <c r="W504" s="76"/>
      <c r="X504" s="76"/>
      <c r="Y504" s="76"/>
      <c r="Z504" s="77"/>
      <c r="AA504" s="77"/>
      <c r="AB504" s="77"/>
      <c r="AC504" s="77"/>
      <c r="AD504" s="77"/>
      <c r="AE504" s="77"/>
      <c r="AF504" s="77"/>
      <c r="AG504" s="77"/>
      <c r="AH504" s="78"/>
      <c r="AI504" s="78"/>
      <c r="AJ504" s="78"/>
      <c r="AK504" s="78"/>
      <c r="AL504" s="78"/>
      <c r="AM504" s="78"/>
      <c r="AN504" s="76"/>
      <c r="AO504" s="76"/>
      <c r="AP504" s="76"/>
      <c r="AQ504" s="76"/>
      <c r="AR504" s="76"/>
      <c r="AS504" s="76"/>
      <c r="AT504" s="76"/>
      <c r="AU504" s="76"/>
      <c r="AV504" s="76"/>
      <c r="AW504" s="79"/>
      <c r="AX504" s="79"/>
      <c r="AY504" s="79"/>
      <c r="AZ504" s="79"/>
      <c r="BA504" s="79"/>
      <c r="BB504" s="11"/>
      <c r="BC504" s="11"/>
      <c r="BD504" s="11"/>
      <c r="BE504" s="73"/>
      <c r="BF504" s="73"/>
      <c r="BG504" s="73"/>
      <c r="BH504" s="77"/>
      <c r="BI504" s="77"/>
      <c r="BJ504" s="77"/>
      <c r="BK504" s="77"/>
      <c r="BL504" s="77"/>
      <c r="BM504" s="77"/>
      <c r="BN504" s="158"/>
      <c r="BO504" s="158"/>
    </row>
    <row r="505" spans="1:67" ht="15" x14ac:dyDescent="0.25">
      <c r="A505" s="71"/>
      <c r="B505" s="11"/>
      <c r="C505" s="11"/>
      <c r="D505" s="11"/>
      <c r="E505" s="11"/>
      <c r="F505" s="11"/>
      <c r="G505" s="11"/>
      <c r="H505" s="11"/>
      <c r="I505" s="11"/>
      <c r="J505" s="249"/>
      <c r="K505" s="72"/>
      <c r="L505" s="73"/>
      <c r="M505" s="73"/>
      <c r="N505" s="74"/>
      <c r="O505" s="75"/>
      <c r="P505" s="73"/>
      <c r="Q505" s="76"/>
      <c r="R505" s="76"/>
      <c r="S505" s="76"/>
      <c r="T505" s="76"/>
      <c r="U505" s="76"/>
      <c r="V505" s="76"/>
      <c r="W505" s="76"/>
      <c r="X505" s="76"/>
      <c r="Y505" s="76"/>
      <c r="Z505" s="77"/>
      <c r="AA505" s="77"/>
      <c r="AB505" s="77"/>
      <c r="AC505" s="77"/>
      <c r="AD505" s="77"/>
      <c r="AE505" s="77"/>
      <c r="AF505" s="77"/>
      <c r="AG505" s="77"/>
      <c r="AH505" s="78"/>
      <c r="AI505" s="78"/>
      <c r="AJ505" s="78"/>
      <c r="AK505" s="78"/>
      <c r="AL505" s="78"/>
      <c r="AM505" s="78"/>
      <c r="AN505" s="76"/>
      <c r="AO505" s="76"/>
      <c r="AP505" s="76"/>
      <c r="AQ505" s="76"/>
      <c r="AR505" s="76"/>
      <c r="AS505" s="76"/>
      <c r="AT505" s="76"/>
      <c r="AU505" s="76"/>
      <c r="AV505" s="76"/>
      <c r="AW505" s="79"/>
      <c r="AX505" s="79"/>
      <c r="AY505" s="79"/>
      <c r="AZ505" s="79"/>
      <c r="BA505" s="79"/>
      <c r="BB505" s="11"/>
      <c r="BC505" s="11"/>
      <c r="BD505" s="11"/>
      <c r="BE505" s="73"/>
      <c r="BF505" s="73"/>
      <c r="BG505" s="73"/>
      <c r="BH505" s="77"/>
      <c r="BI505" s="77"/>
      <c r="BJ505" s="77"/>
      <c r="BK505" s="77"/>
      <c r="BL505" s="77"/>
      <c r="BM505" s="77"/>
      <c r="BN505" s="158"/>
      <c r="BO505" s="158"/>
    </row>
    <row r="506" spans="1:67" ht="15" x14ac:dyDescent="0.25">
      <c r="A506" s="71"/>
      <c r="B506" s="11"/>
      <c r="C506" s="11"/>
      <c r="D506" s="11"/>
      <c r="E506" s="11"/>
      <c r="F506" s="11"/>
      <c r="G506" s="11"/>
      <c r="H506" s="11"/>
      <c r="I506" s="11"/>
      <c r="J506" s="249"/>
      <c r="K506" s="72"/>
      <c r="L506" s="73"/>
      <c r="M506" s="73"/>
      <c r="N506" s="74"/>
      <c r="O506" s="75"/>
      <c r="P506" s="73"/>
      <c r="Q506" s="76"/>
      <c r="R506" s="76"/>
      <c r="S506" s="76"/>
      <c r="T506" s="76"/>
      <c r="U506" s="76"/>
      <c r="V506" s="76"/>
      <c r="W506" s="76"/>
      <c r="X506" s="76"/>
      <c r="Y506" s="76"/>
      <c r="Z506" s="77"/>
      <c r="AA506" s="77"/>
      <c r="AB506" s="77"/>
      <c r="AC506" s="77"/>
      <c r="AD506" s="77"/>
      <c r="AE506" s="77"/>
      <c r="AF506" s="77"/>
      <c r="AG506" s="77"/>
      <c r="AH506" s="78"/>
      <c r="AI506" s="78"/>
      <c r="AJ506" s="78"/>
      <c r="AK506" s="78"/>
      <c r="AL506" s="78"/>
      <c r="AM506" s="78"/>
      <c r="AN506" s="76"/>
      <c r="AO506" s="76"/>
      <c r="AP506" s="76"/>
      <c r="AQ506" s="76"/>
      <c r="AR506" s="76"/>
      <c r="AS506" s="76"/>
      <c r="AT506" s="76"/>
      <c r="AU506" s="76"/>
      <c r="AV506" s="76"/>
      <c r="AW506" s="79"/>
      <c r="AX506" s="79"/>
      <c r="AY506" s="79"/>
      <c r="AZ506" s="79"/>
      <c r="BA506" s="79"/>
      <c r="BB506" s="11"/>
      <c r="BC506" s="11"/>
      <c r="BD506" s="11"/>
      <c r="BE506" s="73"/>
      <c r="BF506" s="73"/>
      <c r="BG506" s="73"/>
      <c r="BH506" s="77"/>
      <c r="BI506" s="77"/>
      <c r="BJ506" s="77"/>
      <c r="BK506" s="77"/>
      <c r="BL506" s="77"/>
      <c r="BM506" s="77"/>
      <c r="BN506" s="158"/>
      <c r="BO506" s="158"/>
    </row>
    <row r="507" spans="1:67" ht="15" x14ac:dyDescent="0.25">
      <c r="A507" s="71"/>
      <c r="B507" s="11"/>
      <c r="C507" s="11"/>
      <c r="D507" s="11"/>
      <c r="E507" s="11"/>
      <c r="F507" s="11"/>
      <c r="G507" s="11"/>
      <c r="H507" s="11"/>
      <c r="I507" s="11"/>
      <c r="J507" s="249"/>
      <c r="K507" s="72"/>
      <c r="L507" s="73"/>
      <c r="M507" s="73"/>
      <c r="N507" s="74"/>
      <c r="O507" s="75"/>
      <c r="P507" s="73"/>
      <c r="Q507" s="76"/>
      <c r="R507" s="76"/>
      <c r="S507" s="76"/>
      <c r="T507" s="76"/>
      <c r="U507" s="76"/>
      <c r="V507" s="76"/>
      <c r="W507" s="76"/>
      <c r="X507" s="76"/>
      <c r="Y507" s="76"/>
      <c r="Z507" s="77"/>
      <c r="AA507" s="77"/>
      <c r="AB507" s="77"/>
      <c r="AC507" s="77"/>
      <c r="AD507" s="77"/>
      <c r="AE507" s="77"/>
      <c r="AF507" s="77"/>
      <c r="AG507" s="77"/>
      <c r="AH507" s="78"/>
      <c r="AI507" s="78"/>
      <c r="AJ507" s="78"/>
      <c r="AK507" s="78"/>
      <c r="AL507" s="78"/>
      <c r="AM507" s="78"/>
      <c r="AN507" s="76"/>
      <c r="AO507" s="76"/>
      <c r="AP507" s="76"/>
      <c r="AQ507" s="76"/>
      <c r="AR507" s="76"/>
      <c r="AS507" s="76"/>
      <c r="AT507" s="76"/>
      <c r="AU507" s="76"/>
      <c r="AV507" s="76"/>
      <c r="AW507" s="79"/>
      <c r="AX507" s="79"/>
      <c r="AY507" s="79"/>
      <c r="AZ507" s="79"/>
      <c r="BA507" s="79"/>
      <c r="BB507" s="11"/>
      <c r="BC507" s="11"/>
      <c r="BD507" s="11"/>
      <c r="BE507" s="73"/>
      <c r="BF507" s="73"/>
      <c r="BG507" s="73"/>
      <c r="BH507" s="77"/>
      <c r="BI507" s="77"/>
      <c r="BJ507" s="77"/>
      <c r="BK507" s="77"/>
      <c r="BL507" s="77"/>
      <c r="BM507" s="77"/>
      <c r="BN507" s="158"/>
      <c r="BO507" s="158"/>
    </row>
    <row r="508" spans="1:67" ht="15" x14ac:dyDescent="0.25">
      <c r="A508" s="71"/>
      <c r="B508" s="11"/>
      <c r="C508" s="11"/>
      <c r="D508" s="11"/>
      <c r="E508" s="11"/>
      <c r="F508" s="11"/>
      <c r="G508" s="11"/>
      <c r="H508" s="11"/>
      <c r="I508" s="11"/>
      <c r="J508" s="249"/>
      <c r="K508" s="72"/>
      <c r="L508" s="73"/>
      <c r="M508" s="73"/>
      <c r="N508" s="74"/>
      <c r="O508" s="75"/>
      <c r="P508" s="73"/>
      <c r="Q508" s="76"/>
      <c r="R508" s="76"/>
      <c r="S508" s="76"/>
      <c r="T508" s="76"/>
      <c r="U508" s="76"/>
      <c r="V508" s="76"/>
      <c r="W508" s="76"/>
      <c r="X508" s="76"/>
      <c r="Y508" s="76"/>
      <c r="Z508" s="77"/>
      <c r="AA508" s="77"/>
      <c r="AB508" s="77"/>
      <c r="AC508" s="77"/>
      <c r="AD508" s="77"/>
      <c r="AE508" s="77"/>
      <c r="AF508" s="77"/>
      <c r="AG508" s="77"/>
      <c r="AH508" s="78"/>
      <c r="AI508" s="78"/>
      <c r="AJ508" s="78"/>
      <c r="AK508" s="78"/>
      <c r="AL508" s="78"/>
      <c r="AM508" s="78"/>
      <c r="AN508" s="76"/>
      <c r="AO508" s="76"/>
      <c r="AP508" s="76"/>
      <c r="AQ508" s="76"/>
      <c r="AR508" s="76"/>
      <c r="AS508" s="76"/>
      <c r="AT508" s="76"/>
      <c r="AU508" s="76"/>
      <c r="AV508" s="76"/>
      <c r="AW508" s="79"/>
      <c r="AX508" s="79"/>
      <c r="AY508" s="79"/>
      <c r="AZ508" s="79"/>
      <c r="BA508" s="79"/>
      <c r="BB508" s="11"/>
      <c r="BC508" s="11"/>
      <c r="BD508" s="11"/>
      <c r="BE508" s="73"/>
      <c r="BF508" s="73"/>
      <c r="BG508" s="73"/>
      <c r="BH508" s="77"/>
      <c r="BI508" s="77"/>
      <c r="BJ508" s="77"/>
      <c r="BK508" s="77"/>
      <c r="BL508" s="77"/>
      <c r="BM508" s="77"/>
      <c r="BN508" s="158"/>
      <c r="BO508" s="158"/>
    </row>
    <row r="509" spans="1:67" ht="15" x14ac:dyDescent="0.25">
      <c r="A509" s="71"/>
      <c r="B509" s="11"/>
      <c r="C509" s="11"/>
      <c r="D509" s="11"/>
      <c r="E509" s="11"/>
      <c r="F509" s="11"/>
      <c r="G509" s="11"/>
      <c r="H509" s="11"/>
      <c r="I509" s="11"/>
      <c r="J509" s="249"/>
      <c r="K509" s="72"/>
      <c r="L509" s="73"/>
      <c r="M509" s="73"/>
      <c r="N509" s="74"/>
      <c r="O509" s="75"/>
      <c r="P509" s="73"/>
      <c r="Q509" s="76"/>
      <c r="R509" s="76"/>
      <c r="S509" s="76"/>
      <c r="T509" s="76"/>
      <c r="U509" s="76"/>
      <c r="V509" s="76"/>
      <c r="W509" s="76"/>
      <c r="X509" s="76"/>
      <c r="Y509" s="76"/>
      <c r="Z509" s="77"/>
      <c r="AA509" s="77"/>
      <c r="AB509" s="77"/>
      <c r="AC509" s="77"/>
      <c r="AD509" s="77"/>
      <c r="AE509" s="77"/>
      <c r="AF509" s="77"/>
      <c r="AG509" s="77"/>
      <c r="AH509" s="78"/>
      <c r="AI509" s="78"/>
      <c r="AJ509" s="78"/>
      <c r="AK509" s="78"/>
      <c r="AL509" s="78"/>
      <c r="AM509" s="78"/>
      <c r="AN509" s="76"/>
      <c r="AO509" s="76"/>
      <c r="AP509" s="76"/>
      <c r="AQ509" s="76"/>
      <c r="AR509" s="76"/>
      <c r="AS509" s="76"/>
      <c r="AT509" s="76"/>
      <c r="AU509" s="76"/>
      <c r="AV509" s="76"/>
      <c r="AW509" s="79"/>
      <c r="AX509" s="79"/>
      <c r="AY509" s="79"/>
      <c r="AZ509" s="79"/>
      <c r="BA509" s="79"/>
      <c r="BB509" s="11"/>
      <c r="BC509" s="11"/>
      <c r="BD509" s="11"/>
      <c r="BE509" s="73"/>
      <c r="BF509" s="73"/>
      <c r="BG509" s="73"/>
      <c r="BH509" s="77"/>
      <c r="BI509" s="77"/>
      <c r="BJ509" s="77"/>
      <c r="BK509" s="77"/>
      <c r="BL509" s="77"/>
      <c r="BM509" s="77"/>
      <c r="BN509" s="158"/>
      <c r="BO509" s="158"/>
    </row>
    <row r="510" spans="1:67" ht="15" x14ac:dyDescent="0.25">
      <c r="A510" s="71"/>
      <c r="B510" s="11"/>
      <c r="C510" s="11"/>
      <c r="D510" s="11"/>
      <c r="E510" s="11"/>
      <c r="F510" s="11"/>
      <c r="G510" s="11"/>
      <c r="H510" s="11"/>
      <c r="I510" s="11"/>
      <c r="J510" s="249"/>
      <c r="K510" s="72"/>
      <c r="L510" s="73"/>
      <c r="M510" s="73"/>
      <c r="N510" s="74"/>
      <c r="O510" s="75"/>
      <c r="P510" s="73"/>
      <c r="Q510" s="76"/>
      <c r="R510" s="76"/>
      <c r="S510" s="76"/>
      <c r="T510" s="76"/>
      <c r="U510" s="76"/>
      <c r="V510" s="76"/>
      <c r="W510" s="76"/>
      <c r="X510" s="76"/>
      <c r="Y510" s="76"/>
      <c r="Z510" s="77"/>
      <c r="AA510" s="77"/>
      <c r="AB510" s="77"/>
      <c r="AC510" s="77"/>
      <c r="AD510" s="77"/>
      <c r="AE510" s="77"/>
      <c r="AF510" s="77"/>
      <c r="AG510" s="77"/>
      <c r="AH510" s="78"/>
      <c r="AI510" s="78"/>
      <c r="AJ510" s="78"/>
      <c r="AK510" s="78"/>
      <c r="AL510" s="78"/>
      <c r="AM510" s="78"/>
      <c r="AN510" s="76"/>
      <c r="AO510" s="76"/>
      <c r="AP510" s="76"/>
      <c r="AQ510" s="76"/>
      <c r="AR510" s="76"/>
      <c r="AS510" s="76"/>
      <c r="AT510" s="76"/>
      <c r="AU510" s="76"/>
      <c r="AV510" s="76"/>
      <c r="AW510" s="79"/>
      <c r="AX510" s="79"/>
      <c r="AY510" s="79"/>
      <c r="AZ510" s="79"/>
      <c r="BA510" s="79"/>
      <c r="BB510" s="11"/>
      <c r="BC510" s="11"/>
      <c r="BD510" s="11"/>
      <c r="BE510" s="73"/>
      <c r="BF510" s="73"/>
      <c r="BG510" s="73"/>
      <c r="BH510" s="77"/>
      <c r="BI510" s="77"/>
      <c r="BJ510" s="77"/>
      <c r="BK510" s="77"/>
      <c r="BL510" s="77"/>
      <c r="BM510" s="77"/>
      <c r="BN510" s="158"/>
      <c r="BO510" s="158"/>
    </row>
    <row r="511" spans="1:67" ht="15" x14ac:dyDescent="0.25">
      <c r="A511" s="71"/>
      <c r="B511" s="11"/>
      <c r="C511" s="11"/>
      <c r="D511" s="11"/>
      <c r="E511" s="11"/>
      <c r="F511" s="11"/>
      <c r="G511" s="11"/>
      <c r="H511" s="11"/>
      <c r="I511" s="11"/>
      <c r="J511" s="249"/>
      <c r="K511" s="72"/>
      <c r="L511" s="73"/>
      <c r="M511" s="73"/>
      <c r="N511" s="74"/>
      <c r="O511" s="75"/>
      <c r="P511" s="73"/>
      <c r="Q511" s="76"/>
      <c r="R511" s="76"/>
      <c r="S511" s="76"/>
      <c r="T511" s="76"/>
      <c r="U511" s="76"/>
      <c r="V511" s="76"/>
      <c r="W511" s="76"/>
      <c r="X511" s="76"/>
      <c r="Y511" s="76"/>
      <c r="Z511" s="77"/>
      <c r="AA511" s="77"/>
      <c r="AB511" s="77"/>
      <c r="AC511" s="77"/>
      <c r="AD511" s="77"/>
      <c r="AE511" s="77"/>
      <c r="AF511" s="77"/>
      <c r="AG511" s="77"/>
      <c r="AH511" s="78"/>
      <c r="AI511" s="78"/>
      <c r="AJ511" s="78"/>
      <c r="AK511" s="78"/>
      <c r="AL511" s="78"/>
      <c r="AM511" s="78"/>
      <c r="AN511" s="76"/>
      <c r="AO511" s="76"/>
      <c r="AP511" s="76"/>
      <c r="AQ511" s="76"/>
      <c r="AR511" s="76"/>
      <c r="AS511" s="76"/>
      <c r="AT511" s="76"/>
      <c r="AU511" s="76"/>
      <c r="AV511" s="76"/>
      <c r="AW511" s="79"/>
      <c r="AX511" s="79"/>
      <c r="AY511" s="79"/>
      <c r="AZ511" s="79"/>
      <c r="BA511" s="79"/>
      <c r="BB511" s="11"/>
      <c r="BC511" s="11"/>
      <c r="BD511" s="11"/>
      <c r="BE511" s="73"/>
      <c r="BF511" s="73"/>
      <c r="BG511" s="73"/>
      <c r="BH511" s="77"/>
      <c r="BI511" s="77"/>
      <c r="BJ511" s="77"/>
      <c r="BK511" s="77"/>
      <c r="BL511" s="77"/>
      <c r="BM511" s="77"/>
      <c r="BN511" s="158"/>
      <c r="BO511" s="158"/>
    </row>
    <row r="512" spans="1:67" ht="15" x14ac:dyDescent="0.25">
      <c r="A512" s="71"/>
      <c r="B512" s="11"/>
      <c r="C512" s="11"/>
      <c r="D512" s="11"/>
      <c r="E512" s="11"/>
      <c r="F512" s="11"/>
      <c r="G512" s="11"/>
      <c r="H512" s="11"/>
      <c r="I512" s="11"/>
      <c r="J512" s="249"/>
      <c r="K512" s="72"/>
      <c r="L512" s="73"/>
      <c r="M512" s="73"/>
      <c r="N512" s="74"/>
      <c r="O512" s="75"/>
      <c r="P512" s="73"/>
      <c r="Q512" s="76"/>
      <c r="R512" s="76"/>
      <c r="S512" s="76"/>
      <c r="T512" s="76"/>
      <c r="U512" s="76"/>
      <c r="V512" s="76"/>
      <c r="W512" s="76"/>
      <c r="X512" s="76"/>
      <c r="Y512" s="76"/>
      <c r="Z512" s="77"/>
      <c r="AA512" s="77"/>
      <c r="AB512" s="77"/>
      <c r="AC512" s="77"/>
      <c r="AD512" s="77"/>
      <c r="AE512" s="77"/>
      <c r="AF512" s="77"/>
      <c r="AG512" s="77"/>
      <c r="AH512" s="78"/>
      <c r="AI512" s="78"/>
      <c r="AJ512" s="78"/>
      <c r="AK512" s="78"/>
      <c r="AL512" s="78"/>
      <c r="AM512" s="78"/>
      <c r="AN512" s="76"/>
      <c r="AO512" s="76"/>
      <c r="AP512" s="76"/>
      <c r="AQ512" s="76"/>
      <c r="AR512" s="76"/>
      <c r="AS512" s="76"/>
      <c r="AT512" s="76"/>
      <c r="AU512" s="76"/>
      <c r="AV512" s="76"/>
      <c r="AW512" s="79"/>
      <c r="AX512" s="79"/>
      <c r="AY512" s="79"/>
      <c r="AZ512" s="79"/>
      <c r="BA512" s="79"/>
      <c r="BB512" s="11"/>
      <c r="BC512" s="11"/>
      <c r="BD512" s="11"/>
      <c r="BE512" s="73"/>
      <c r="BF512" s="73"/>
      <c r="BG512" s="73"/>
      <c r="BH512" s="77"/>
      <c r="BI512" s="77"/>
      <c r="BJ512" s="77"/>
      <c r="BK512" s="77"/>
      <c r="BL512" s="77"/>
      <c r="BM512" s="77"/>
      <c r="BN512" s="158"/>
      <c r="BO512" s="158"/>
    </row>
    <row r="513" spans="1:67" ht="15" x14ac:dyDescent="0.25">
      <c r="A513" s="71"/>
      <c r="B513" s="11"/>
      <c r="C513" s="11"/>
      <c r="D513" s="11"/>
      <c r="E513" s="11"/>
      <c r="F513" s="11"/>
      <c r="G513" s="11"/>
      <c r="H513" s="11"/>
      <c r="I513" s="11"/>
      <c r="J513" s="249"/>
      <c r="K513" s="72"/>
      <c r="L513" s="73"/>
      <c r="M513" s="73"/>
      <c r="N513" s="74"/>
      <c r="O513" s="75"/>
      <c r="P513" s="73"/>
      <c r="Q513" s="76"/>
      <c r="R513" s="76"/>
      <c r="S513" s="76"/>
      <c r="T513" s="76"/>
      <c r="U513" s="76"/>
      <c r="V513" s="76"/>
      <c r="W513" s="76"/>
      <c r="X513" s="76"/>
      <c r="Y513" s="76"/>
      <c r="Z513" s="77"/>
      <c r="AA513" s="77"/>
      <c r="AB513" s="77"/>
      <c r="AC513" s="77"/>
      <c r="AD513" s="77"/>
      <c r="AE513" s="77"/>
      <c r="AF513" s="77"/>
      <c r="AG513" s="77"/>
      <c r="AH513" s="78"/>
      <c r="AI513" s="78"/>
      <c r="AJ513" s="78"/>
      <c r="AK513" s="78"/>
      <c r="AL513" s="78"/>
      <c r="AM513" s="78"/>
      <c r="AN513" s="76"/>
      <c r="AO513" s="76"/>
      <c r="AP513" s="76"/>
      <c r="AQ513" s="76"/>
      <c r="AR513" s="76"/>
      <c r="AS513" s="76"/>
      <c r="AT513" s="76"/>
      <c r="AU513" s="76"/>
      <c r="AV513" s="76"/>
      <c r="AW513" s="79"/>
      <c r="AX513" s="79"/>
      <c r="AY513" s="79"/>
      <c r="AZ513" s="79"/>
      <c r="BA513" s="79"/>
      <c r="BB513" s="11"/>
      <c r="BC513" s="11"/>
      <c r="BD513" s="11"/>
      <c r="BE513" s="73"/>
      <c r="BF513" s="73"/>
      <c r="BG513" s="73"/>
      <c r="BH513" s="77"/>
      <c r="BI513" s="77"/>
      <c r="BJ513" s="77"/>
      <c r="BK513" s="77"/>
      <c r="BL513" s="77"/>
      <c r="BM513" s="77"/>
      <c r="BN513" s="158"/>
      <c r="BO513" s="158"/>
    </row>
    <row r="514" spans="1:67" ht="15" x14ac:dyDescent="0.25">
      <c r="A514" s="71"/>
      <c r="B514" s="11"/>
      <c r="C514" s="11"/>
      <c r="D514" s="11"/>
      <c r="E514" s="11"/>
      <c r="F514" s="11"/>
      <c r="G514" s="11"/>
      <c r="H514" s="11"/>
      <c r="I514" s="11"/>
      <c r="J514" s="249"/>
      <c r="K514" s="72"/>
      <c r="L514" s="73"/>
      <c r="M514" s="73"/>
      <c r="N514" s="74"/>
      <c r="O514" s="75"/>
      <c r="P514" s="73"/>
      <c r="Q514" s="76"/>
      <c r="R514" s="76"/>
      <c r="S514" s="76"/>
      <c r="T514" s="76"/>
      <c r="U514" s="76"/>
      <c r="V514" s="76"/>
      <c r="W514" s="76"/>
      <c r="X514" s="76"/>
      <c r="Y514" s="76"/>
      <c r="Z514" s="77"/>
      <c r="AA514" s="77"/>
      <c r="AB514" s="77"/>
      <c r="AC514" s="77"/>
      <c r="AD514" s="77"/>
      <c r="AE514" s="77"/>
      <c r="AF514" s="77"/>
      <c r="AG514" s="77"/>
      <c r="AH514" s="78"/>
      <c r="AI514" s="78"/>
      <c r="AJ514" s="78"/>
      <c r="AK514" s="78"/>
      <c r="AL514" s="78"/>
      <c r="AM514" s="78"/>
      <c r="AN514" s="76"/>
      <c r="AO514" s="76"/>
      <c r="AP514" s="76"/>
      <c r="AQ514" s="76"/>
      <c r="AR514" s="76"/>
      <c r="AS514" s="76"/>
      <c r="AT514" s="76"/>
      <c r="AU514" s="76"/>
      <c r="AV514" s="76"/>
      <c r="AW514" s="79"/>
      <c r="AX514" s="79"/>
      <c r="AY514" s="79"/>
      <c r="AZ514" s="79"/>
      <c r="BA514" s="79"/>
      <c r="BB514" s="11"/>
      <c r="BC514" s="11"/>
      <c r="BD514" s="11"/>
      <c r="BE514" s="73"/>
      <c r="BF514" s="73"/>
      <c r="BG514" s="73"/>
      <c r="BH514" s="77"/>
      <c r="BI514" s="77"/>
      <c r="BJ514" s="77"/>
      <c r="BK514" s="77"/>
      <c r="BL514" s="77"/>
      <c r="BM514" s="77"/>
      <c r="BN514" s="158"/>
      <c r="BO514" s="158"/>
    </row>
    <row r="515" spans="1:67" ht="15" x14ac:dyDescent="0.25">
      <c r="A515" s="71"/>
      <c r="B515" s="11"/>
      <c r="C515" s="11"/>
      <c r="D515" s="11"/>
      <c r="E515" s="11"/>
      <c r="F515" s="11"/>
      <c r="G515" s="11"/>
      <c r="H515" s="11"/>
      <c r="I515" s="11"/>
      <c r="J515" s="249"/>
      <c r="K515" s="72"/>
      <c r="L515" s="73"/>
      <c r="M515" s="73"/>
      <c r="N515" s="74"/>
      <c r="O515" s="75"/>
      <c r="P515" s="73"/>
      <c r="Q515" s="76"/>
      <c r="R515" s="76"/>
      <c r="S515" s="76"/>
      <c r="T515" s="76"/>
      <c r="U515" s="76"/>
      <c r="V515" s="76"/>
      <c r="W515" s="76"/>
      <c r="X515" s="76"/>
      <c r="Y515" s="76"/>
      <c r="Z515" s="77"/>
      <c r="AA515" s="77"/>
      <c r="AB515" s="77"/>
      <c r="AC515" s="77"/>
      <c r="AD515" s="77"/>
      <c r="AE515" s="77"/>
      <c r="AF515" s="77"/>
      <c r="AG515" s="77"/>
      <c r="AH515" s="78"/>
      <c r="AI515" s="78"/>
      <c r="AJ515" s="78"/>
      <c r="AK515" s="78"/>
      <c r="AL515" s="78"/>
      <c r="AM515" s="78"/>
      <c r="AN515" s="76"/>
      <c r="AO515" s="76"/>
      <c r="AP515" s="76"/>
      <c r="AQ515" s="76"/>
      <c r="AR515" s="76"/>
      <c r="AS515" s="76"/>
      <c r="AT515" s="76"/>
      <c r="AU515" s="76"/>
      <c r="AV515" s="76"/>
      <c r="AW515" s="79"/>
      <c r="AX515" s="79"/>
      <c r="AY515" s="79"/>
      <c r="AZ515" s="79"/>
      <c r="BA515" s="79"/>
      <c r="BB515" s="11"/>
      <c r="BC515" s="11"/>
      <c r="BD515" s="11"/>
      <c r="BE515" s="73"/>
      <c r="BF515" s="73"/>
      <c r="BG515" s="73"/>
      <c r="BH515" s="77"/>
      <c r="BI515" s="77"/>
      <c r="BJ515" s="77"/>
      <c r="BK515" s="77"/>
      <c r="BL515" s="77"/>
      <c r="BM515" s="77"/>
      <c r="BN515" s="158"/>
      <c r="BO515" s="158"/>
    </row>
    <row r="516" spans="1:67" ht="15" x14ac:dyDescent="0.25">
      <c r="A516" s="71"/>
      <c r="B516" s="11"/>
      <c r="C516" s="11"/>
      <c r="D516" s="11"/>
      <c r="E516" s="11"/>
      <c r="F516" s="11"/>
      <c r="G516" s="11"/>
      <c r="H516" s="11"/>
      <c r="I516" s="11"/>
      <c r="J516" s="249"/>
      <c r="K516" s="72"/>
      <c r="L516" s="73"/>
      <c r="M516" s="73"/>
      <c r="N516" s="74"/>
      <c r="O516" s="75"/>
      <c r="P516" s="73"/>
      <c r="Q516" s="76"/>
      <c r="R516" s="76"/>
      <c r="S516" s="76"/>
      <c r="T516" s="76"/>
      <c r="U516" s="76"/>
      <c r="V516" s="76"/>
      <c r="W516" s="76"/>
      <c r="X516" s="76"/>
      <c r="Y516" s="76"/>
      <c r="Z516" s="77"/>
      <c r="AA516" s="77"/>
      <c r="AB516" s="77"/>
      <c r="AC516" s="77"/>
      <c r="AD516" s="77"/>
      <c r="AE516" s="77"/>
      <c r="AF516" s="77"/>
      <c r="AG516" s="77"/>
      <c r="AH516" s="78"/>
      <c r="AI516" s="78"/>
      <c r="AJ516" s="78"/>
      <c r="AK516" s="78"/>
      <c r="AL516" s="78"/>
      <c r="AM516" s="78"/>
      <c r="AN516" s="76"/>
      <c r="AO516" s="76"/>
      <c r="AP516" s="76"/>
      <c r="AQ516" s="76"/>
      <c r="AR516" s="76"/>
      <c r="AS516" s="76"/>
      <c r="AT516" s="76"/>
      <c r="AU516" s="76"/>
      <c r="AV516" s="76"/>
      <c r="AW516" s="79"/>
      <c r="AX516" s="79"/>
      <c r="AY516" s="79"/>
      <c r="AZ516" s="79"/>
      <c r="BA516" s="79"/>
      <c r="BB516" s="11"/>
      <c r="BC516" s="11"/>
      <c r="BD516" s="11"/>
      <c r="BE516" s="73"/>
      <c r="BF516" s="73"/>
      <c r="BG516" s="73"/>
      <c r="BH516" s="77"/>
      <c r="BI516" s="77"/>
      <c r="BJ516" s="77"/>
      <c r="BK516" s="77"/>
      <c r="BL516" s="77"/>
      <c r="BM516" s="77"/>
      <c r="BN516" s="158"/>
      <c r="BO516" s="158"/>
    </row>
    <row r="517" spans="1:67" ht="15" x14ac:dyDescent="0.25">
      <c r="A517" s="71"/>
      <c r="B517" s="11"/>
      <c r="C517" s="11"/>
      <c r="D517" s="11"/>
      <c r="E517" s="11"/>
      <c r="F517" s="11"/>
      <c r="G517" s="11"/>
      <c r="H517" s="11"/>
      <c r="I517" s="11"/>
      <c r="J517" s="249"/>
      <c r="K517" s="72"/>
      <c r="L517" s="73"/>
      <c r="M517" s="73"/>
      <c r="N517" s="74"/>
      <c r="O517" s="75"/>
      <c r="P517" s="73"/>
      <c r="Q517" s="76"/>
      <c r="R517" s="76"/>
      <c r="S517" s="76"/>
      <c r="T517" s="76"/>
      <c r="U517" s="76"/>
      <c r="V517" s="76"/>
      <c r="W517" s="76"/>
      <c r="X517" s="76"/>
      <c r="Y517" s="76"/>
      <c r="Z517" s="77"/>
      <c r="AA517" s="77"/>
      <c r="AB517" s="77"/>
      <c r="AC517" s="77"/>
      <c r="AD517" s="77"/>
      <c r="AE517" s="77"/>
      <c r="AF517" s="77"/>
      <c r="AG517" s="77"/>
      <c r="AH517" s="78"/>
      <c r="AI517" s="78"/>
      <c r="AJ517" s="78"/>
      <c r="AK517" s="78"/>
      <c r="AL517" s="78"/>
      <c r="AM517" s="78"/>
      <c r="AN517" s="76"/>
      <c r="AO517" s="76"/>
      <c r="AP517" s="76"/>
      <c r="AQ517" s="76"/>
      <c r="AR517" s="76"/>
      <c r="AS517" s="76"/>
      <c r="AT517" s="76"/>
      <c r="AU517" s="76"/>
      <c r="AV517" s="76"/>
      <c r="AW517" s="79"/>
      <c r="AX517" s="79"/>
      <c r="AY517" s="79"/>
      <c r="AZ517" s="79"/>
      <c r="BA517" s="79"/>
      <c r="BB517" s="11"/>
      <c r="BC517" s="11"/>
      <c r="BD517" s="11"/>
      <c r="BE517" s="73"/>
      <c r="BF517" s="73"/>
      <c r="BG517" s="73"/>
      <c r="BH517" s="77"/>
      <c r="BI517" s="77"/>
      <c r="BJ517" s="77"/>
      <c r="BK517" s="77"/>
      <c r="BL517" s="77"/>
      <c r="BM517" s="77"/>
      <c r="BN517" s="158"/>
      <c r="BO517" s="158"/>
    </row>
    <row r="518" spans="1:67" ht="15" x14ac:dyDescent="0.25">
      <c r="A518" s="71"/>
      <c r="B518" s="11"/>
      <c r="C518" s="11"/>
      <c r="D518" s="11"/>
      <c r="E518" s="11"/>
      <c r="F518" s="11"/>
      <c r="G518" s="11"/>
      <c r="H518" s="11"/>
      <c r="I518" s="11"/>
      <c r="J518" s="249"/>
      <c r="K518" s="72"/>
      <c r="L518" s="73"/>
      <c r="M518" s="73"/>
      <c r="N518" s="74"/>
      <c r="O518" s="75"/>
      <c r="P518" s="73"/>
      <c r="Q518" s="76"/>
      <c r="R518" s="76"/>
      <c r="S518" s="76"/>
      <c r="T518" s="76"/>
      <c r="U518" s="76"/>
      <c r="V518" s="76"/>
      <c r="W518" s="76"/>
      <c r="X518" s="76"/>
      <c r="Y518" s="76"/>
      <c r="Z518" s="77"/>
      <c r="AA518" s="77"/>
      <c r="AB518" s="77"/>
      <c r="AC518" s="77"/>
      <c r="AD518" s="77"/>
      <c r="AE518" s="77"/>
      <c r="AF518" s="77"/>
      <c r="AG518" s="77"/>
      <c r="AH518" s="78"/>
      <c r="AI518" s="78"/>
      <c r="AJ518" s="78"/>
      <c r="AK518" s="78"/>
      <c r="AL518" s="78"/>
      <c r="AM518" s="78"/>
      <c r="AN518" s="76"/>
      <c r="AO518" s="76"/>
      <c r="AP518" s="76"/>
      <c r="AQ518" s="76"/>
      <c r="AR518" s="76"/>
      <c r="AS518" s="76"/>
      <c r="AT518" s="76"/>
      <c r="AU518" s="76"/>
      <c r="AV518" s="76"/>
      <c r="AW518" s="79"/>
      <c r="AX518" s="79"/>
      <c r="AY518" s="79"/>
      <c r="AZ518" s="79"/>
      <c r="BA518" s="79"/>
      <c r="BB518" s="11"/>
      <c r="BC518" s="11"/>
      <c r="BD518" s="11"/>
      <c r="BE518" s="73"/>
      <c r="BF518" s="73"/>
      <c r="BG518" s="73"/>
      <c r="BH518" s="77"/>
      <c r="BI518" s="77"/>
      <c r="BJ518" s="77"/>
      <c r="BK518" s="77"/>
      <c r="BL518" s="77"/>
      <c r="BM518" s="77"/>
      <c r="BN518" s="158"/>
      <c r="BO518" s="158"/>
    </row>
    <row r="519" spans="1:67" ht="15" x14ac:dyDescent="0.25">
      <c r="A519" s="71"/>
      <c r="B519" s="11"/>
      <c r="C519" s="11"/>
      <c r="D519" s="11"/>
      <c r="E519" s="11"/>
      <c r="F519" s="11"/>
      <c r="G519" s="11"/>
      <c r="H519" s="11"/>
      <c r="I519" s="11"/>
      <c r="J519" s="249"/>
      <c r="K519" s="72"/>
      <c r="L519" s="73"/>
      <c r="M519" s="73"/>
      <c r="N519" s="74"/>
      <c r="O519" s="75"/>
      <c r="P519" s="73"/>
      <c r="Q519" s="76"/>
      <c r="R519" s="76"/>
      <c r="S519" s="76"/>
      <c r="T519" s="76"/>
      <c r="U519" s="76"/>
      <c r="V519" s="76"/>
      <c r="W519" s="76"/>
      <c r="X519" s="76"/>
      <c r="Y519" s="76"/>
      <c r="Z519" s="77"/>
      <c r="AA519" s="77"/>
      <c r="AB519" s="77"/>
      <c r="AC519" s="77"/>
      <c r="AD519" s="77"/>
      <c r="AE519" s="77"/>
      <c r="AF519" s="77"/>
      <c r="AG519" s="77"/>
      <c r="AH519" s="78"/>
      <c r="AI519" s="78"/>
      <c r="AJ519" s="78"/>
      <c r="AK519" s="78"/>
      <c r="AL519" s="78"/>
      <c r="AM519" s="78"/>
      <c r="AN519" s="76"/>
      <c r="AO519" s="76"/>
      <c r="AP519" s="76"/>
      <c r="AQ519" s="76"/>
      <c r="AR519" s="76"/>
      <c r="AS519" s="76"/>
      <c r="AT519" s="76"/>
      <c r="AU519" s="76"/>
      <c r="AV519" s="76"/>
      <c r="AW519" s="79"/>
      <c r="AX519" s="79"/>
      <c r="AY519" s="79"/>
      <c r="AZ519" s="79"/>
      <c r="BA519" s="79"/>
      <c r="BB519" s="11"/>
      <c r="BC519" s="11"/>
      <c r="BD519" s="11"/>
      <c r="BE519" s="73"/>
      <c r="BF519" s="73"/>
      <c r="BG519" s="73"/>
      <c r="BH519" s="77"/>
      <c r="BI519" s="77"/>
      <c r="BJ519" s="77"/>
      <c r="BK519" s="77"/>
      <c r="BL519" s="77"/>
      <c r="BM519" s="77"/>
      <c r="BN519" s="158"/>
      <c r="BO519" s="158"/>
    </row>
    <row r="520" spans="1:67" ht="15" x14ac:dyDescent="0.25">
      <c r="A520" s="71"/>
      <c r="B520" s="11"/>
      <c r="C520" s="11"/>
      <c r="D520" s="11"/>
      <c r="E520" s="11"/>
      <c r="F520" s="11"/>
      <c r="G520" s="11"/>
      <c r="H520" s="11"/>
      <c r="I520" s="11"/>
      <c r="J520" s="249"/>
      <c r="K520" s="72"/>
      <c r="L520" s="73"/>
      <c r="M520" s="73"/>
      <c r="N520" s="74"/>
      <c r="O520" s="75"/>
      <c r="P520" s="73"/>
      <c r="Q520" s="76"/>
      <c r="R520" s="76"/>
      <c r="S520" s="76"/>
      <c r="T520" s="76"/>
      <c r="U520" s="76"/>
      <c r="V520" s="76"/>
      <c r="W520" s="76"/>
      <c r="X520" s="76"/>
      <c r="Y520" s="76"/>
      <c r="Z520" s="77"/>
      <c r="AA520" s="77"/>
      <c r="AB520" s="77"/>
      <c r="AC520" s="77"/>
      <c r="AD520" s="77"/>
      <c r="AE520" s="77"/>
      <c r="AF520" s="77"/>
      <c r="AG520" s="77"/>
      <c r="AH520" s="78"/>
      <c r="AI520" s="78"/>
      <c r="AJ520" s="78"/>
      <c r="AK520" s="78"/>
      <c r="AL520" s="78"/>
      <c r="AM520" s="78"/>
      <c r="AN520" s="76"/>
      <c r="AO520" s="76"/>
      <c r="AP520" s="76"/>
      <c r="AQ520" s="76"/>
      <c r="AR520" s="76"/>
      <c r="AS520" s="76"/>
      <c r="AT520" s="76"/>
      <c r="AU520" s="76"/>
      <c r="AV520" s="76"/>
      <c r="AW520" s="79"/>
      <c r="AX520" s="79"/>
      <c r="AY520" s="79"/>
      <c r="AZ520" s="79"/>
      <c r="BA520" s="79"/>
      <c r="BB520" s="11"/>
      <c r="BC520" s="11"/>
      <c r="BD520" s="11"/>
      <c r="BE520" s="73"/>
      <c r="BF520" s="73"/>
      <c r="BG520" s="73"/>
      <c r="BH520" s="77"/>
      <c r="BI520" s="77"/>
      <c r="BJ520" s="77"/>
      <c r="BK520" s="77"/>
      <c r="BL520" s="77"/>
      <c r="BM520" s="77"/>
      <c r="BN520" s="158"/>
      <c r="BO520" s="158"/>
    </row>
    <row r="521" spans="1:67" ht="15" x14ac:dyDescent="0.25">
      <c r="A521" s="71"/>
      <c r="B521" s="11"/>
      <c r="C521" s="11"/>
      <c r="D521" s="11"/>
      <c r="E521" s="11"/>
      <c r="F521" s="11"/>
      <c r="G521" s="11"/>
      <c r="H521" s="11"/>
      <c r="I521" s="11"/>
      <c r="J521" s="249"/>
      <c r="K521" s="72"/>
      <c r="L521" s="73"/>
      <c r="M521" s="73"/>
      <c r="N521" s="74"/>
      <c r="O521" s="75"/>
      <c r="P521" s="73"/>
      <c r="Q521" s="76"/>
      <c r="R521" s="76"/>
      <c r="S521" s="76"/>
      <c r="T521" s="76"/>
      <c r="U521" s="76"/>
      <c r="V521" s="76"/>
      <c r="W521" s="76"/>
      <c r="X521" s="76"/>
      <c r="Y521" s="76"/>
      <c r="Z521" s="77"/>
      <c r="AA521" s="77"/>
      <c r="AB521" s="77"/>
      <c r="AC521" s="77"/>
      <c r="AD521" s="77"/>
      <c r="AE521" s="77"/>
      <c r="AF521" s="77"/>
      <c r="AG521" s="77"/>
      <c r="AH521" s="78"/>
      <c r="AI521" s="78"/>
      <c r="AJ521" s="78"/>
      <c r="AK521" s="78"/>
      <c r="AL521" s="78"/>
      <c r="AM521" s="78"/>
      <c r="AN521" s="76"/>
      <c r="AO521" s="76"/>
      <c r="AP521" s="76"/>
      <c r="AQ521" s="76"/>
      <c r="AR521" s="76"/>
      <c r="AS521" s="76"/>
      <c r="AT521" s="76"/>
      <c r="AU521" s="76"/>
      <c r="AV521" s="76"/>
      <c r="AW521" s="79"/>
      <c r="AX521" s="79"/>
      <c r="AY521" s="79"/>
      <c r="AZ521" s="79"/>
      <c r="BA521" s="79"/>
      <c r="BB521" s="11"/>
      <c r="BC521" s="11"/>
      <c r="BD521" s="11"/>
      <c r="BE521" s="73"/>
      <c r="BF521" s="73"/>
      <c r="BG521" s="73"/>
      <c r="BH521" s="77"/>
      <c r="BI521" s="77"/>
      <c r="BJ521" s="77"/>
      <c r="BK521" s="77"/>
      <c r="BL521" s="77"/>
      <c r="BM521" s="77"/>
      <c r="BN521" s="158"/>
      <c r="BO521" s="158"/>
    </row>
    <row r="522" spans="1:67" ht="15" x14ac:dyDescent="0.25">
      <c r="A522" s="71"/>
      <c r="B522" s="11"/>
      <c r="C522" s="11"/>
      <c r="D522" s="11"/>
      <c r="E522" s="11"/>
      <c r="F522" s="11"/>
      <c r="G522" s="11"/>
      <c r="H522" s="11"/>
      <c r="I522" s="11"/>
      <c r="J522" s="249"/>
      <c r="K522" s="72"/>
      <c r="L522" s="73"/>
      <c r="M522" s="73"/>
      <c r="N522" s="74"/>
      <c r="O522" s="75"/>
      <c r="P522" s="73"/>
      <c r="Q522" s="76"/>
      <c r="R522" s="76"/>
      <c r="S522" s="76"/>
      <c r="T522" s="76"/>
      <c r="U522" s="76"/>
      <c r="V522" s="76"/>
      <c r="W522" s="76"/>
      <c r="X522" s="76"/>
      <c r="Y522" s="76"/>
      <c r="Z522" s="77"/>
      <c r="AA522" s="77"/>
      <c r="AB522" s="77"/>
      <c r="AC522" s="77"/>
      <c r="AD522" s="77"/>
      <c r="AE522" s="77"/>
      <c r="AF522" s="77"/>
      <c r="AG522" s="77"/>
      <c r="AH522" s="78"/>
      <c r="AI522" s="78"/>
      <c r="AJ522" s="78"/>
      <c r="AK522" s="78"/>
      <c r="AL522" s="78"/>
      <c r="AM522" s="78"/>
      <c r="AN522" s="76"/>
      <c r="AO522" s="76"/>
      <c r="AP522" s="76"/>
      <c r="AQ522" s="76"/>
      <c r="AR522" s="76"/>
      <c r="AS522" s="76"/>
      <c r="AT522" s="76"/>
      <c r="AU522" s="76"/>
      <c r="AV522" s="76"/>
      <c r="AW522" s="79"/>
      <c r="AX522" s="79"/>
      <c r="AY522" s="79"/>
      <c r="AZ522" s="79"/>
      <c r="BA522" s="79"/>
      <c r="BB522" s="11"/>
      <c r="BC522" s="11"/>
      <c r="BD522" s="11"/>
      <c r="BE522" s="73"/>
      <c r="BF522" s="73"/>
      <c r="BG522" s="73"/>
      <c r="BH522" s="77"/>
      <c r="BI522" s="77"/>
      <c r="BJ522" s="77"/>
      <c r="BK522" s="77"/>
      <c r="BL522" s="77"/>
      <c r="BM522" s="77"/>
      <c r="BN522" s="158"/>
      <c r="BO522" s="158"/>
    </row>
    <row r="523" spans="1:67" ht="15" x14ac:dyDescent="0.25">
      <c r="A523" s="71"/>
      <c r="B523" s="11"/>
      <c r="C523" s="11"/>
      <c r="D523" s="11"/>
      <c r="E523" s="11"/>
      <c r="F523" s="11"/>
      <c r="G523" s="11"/>
      <c r="H523" s="11"/>
      <c r="I523" s="11"/>
      <c r="J523" s="249"/>
      <c r="K523" s="72"/>
      <c r="L523" s="73"/>
      <c r="M523" s="73"/>
      <c r="N523" s="74"/>
      <c r="O523" s="75"/>
      <c r="P523" s="73"/>
      <c r="Q523" s="76"/>
      <c r="R523" s="76"/>
      <c r="S523" s="76"/>
      <c r="T523" s="76"/>
      <c r="U523" s="76"/>
      <c r="V523" s="76"/>
      <c r="W523" s="76"/>
      <c r="X523" s="76"/>
      <c r="Y523" s="76"/>
      <c r="Z523" s="77"/>
      <c r="AA523" s="77"/>
      <c r="AB523" s="77"/>
      <c r="AC523" s="77"/>
      <c r="AD523" s="77"/>
      <c r="AE523" s="77"/>
      <c r="AF523" s="77"/>
      <c r="AG523" s="77"/>
      <c r="AH523" s="78"/>
      <c r="AI523" s="78"/>
      <c r="AJ523" s="78"/>
      <c r="AK523" s="78"/>
      <c r="AL523" s="78"/>
      <c r="AM523" s="78"/>
      <c r="AN523" s="76"/>
      <c r="AO523" s="76"/>
      <c r="AP523" s="76"/>
      <c r="AQ523" s="76"/>
      <c r="AR523" s="76"/>
      <c r="AS523" s="76"/>
      <c r="AT523" s="76"/>
      <c r="AU523" s="76"/>
      <c r="AV523" s="76"/>
      <c r="AW523" s="79"/>
      <c r="AX523" s="79"/>
      <c r="AY523" s="79"/>
      <c r="AZ523" s="79"/>
      <c r="BA523" s="79"/>
      <c r="BB523" s="11"/>
      <c r="BC523" s="11"/>
      <c r="BD523" s="11"/>
      <c r="BE523" s="73"/>
      <c r="BF523" s="73"/>
      <c r="BG523" s="73"/>
      <c r="BH523" s="77"/>
      <c r="BI523" s="77"/>
      <c r="BJ523" s="77"/>
      <c r="BK523" s="77"/>
      <c r="BL523" s="77"/>
      <c r="BM523" s="77"/>
      <c r="BN523" s="158"/>
      <c r="BO523" s="158"/>
    </row>
    <row r="524" spans="1:67" ht="15" x14ac:dyDescent="0.25">
      <c r="A524" s="71"/>
      <c r="B524" s="11"/>
      <c r="C524" s="11"/>
      <c r="D524" s="11"/>
      <c r="E524" s="11"/>
      <c r="F524" s="11"/>
      <c r="G524" s="11"/>
      <c r="H524" s="11"/>
      <c r="I524" s="11"/>
      <c r="J524" s="249"/>
      <c r="K524" s="72"/>
      <c r="L524" s="73"/>
      <c r="M524" s="73"/>
      <c r="N524" s="74"/>
      <c r="O524" s="75"/>
      <c r="P524" s="73"/>
      <c r="Q524" s="76"/>
      <c r="R524" s="76"/>
      <c r="S524" s="76"/>
      <c r="T524" s="76"/>
      <c r="U524" s="76"/>
      <c r="V524" s="76"/>
      <c r="W524" s="76"/>
      <c r="X524" s="76"/>
      <c r="Y524" s="76"/>
      <c r="Z524" s="77"/>
      <c r="AA524" s="77"/>
      <c r="AB524" s="77"/>
      <c r="AC524" s="77"/>
      <c r="AD524" s="77"/>
      <c r="AE524" s="77"/>
      <c r="AF524" s="77"/>
      <c r="AG524" s="77"/>
      <c r="AH524" s="78"/>
      <c r="AI524" s="78"/>
      <c r="AJ524" s="78"/>
      <c r="AK524" s="78"/>
      <c r="AL524" s="78"/>
      <c r="AM524" s="78"/>
      <c r="AN524" s="76"/>
      <c r="AO524" s="76"/>
      <c r="AP524" s="76"/>
      <c r="AQ524" s="76"/>
      <c r="AR524" s="76"/>
      <c r="AS524" s="76"/>
      <c r="AT524" s="76"/>
      <c r="AU524" s="76"/>
      <c r="AV524" s="76"/>
      <c r="AW524" s="79"/>
      <c r="AX524" s="79"/>
      <c r="AY524" s="79"/>
      <c r="AZ524" s="79"/>
      <c r="BA524" s="79"/>
      <c r="BB524" s="11"/>
      <c r="BC524" s="11"/>
      <c r="BD524" s="11"/>
      <c r="BE524" s="73"/>
      <c r="BF524" s="73"/>
      <c r="BG524" s="73"/>
      <c r="BH524" s="77"/>
      <c r="BI524" s="77"/>
      <c r="BJ524" s="77"/>
      <c r="BK524" s="77"/>
      <c r="BL524" s="77"/>
      <c r="BM524" s="77"/>
      <c r="BN524" s="158"/>
      <c r="BO524" s="158"/>
    </row>
    <row r="525" spans="1:67" ht="15" x14ac:dyDescent="0.25">
      <c r="A525" s="71"/>
      <c r="B525" s="11"/>
      <c r="C525" s="11"/>
      <c r="D525" s="11"/>
      <c r="E525" s="11"/>
      <c r="F525" s="11"/>
      <c r="G525" s="11"/>
      <c r="H525" s="11"/>
      <c r="I525" s="11"/>
      <c r="J525" s="249"/>
      <c r="K525" s="72"/>
      <c r="L525" s="73"/>
      <c r="M525" s="73"/>
      <c r="N525" s="74"/>
      <c r="O525" s="75"/>
      <c r="P525" s="73"/>
      <c r="Q525" s="76"/>
      <c r="R525" s="76"/>
      <c r="S525" s="76"/>
      <c r="T525" s="76"/>
      <c r="U525" s="76"/>
      <c r="V525" s="76"/>
      <c r="W525" s="76"/>
      <c r="X525" s="76"/>
      <c r="Y525" s="76"/>
      <c r="Z525" s="77"/>
      <c r="AA525" s="77"/>
      <c r="AB525" s="77"/>
      <c r="AC525" s="77"/>
      <c r="AD525" s="77"/>
      <c r="AE525" s="77"/>
      <c r="AF525" s="77"/>
      <c r="AG525" s="77"/>
      <c r="AH525" s="78"/>
      <c r="AI525" s="78"/>
      <c r="AJ525" s="78"/>
      <c r="AK525" s="78"/>
      <c r="AL525" s="78"/>
      <c r="AM525" s="78"/>
      <c r="AN525" s="76"/>
      <c r="AO525" s="76"/>
      <c r="AP525" s="76"/>
      <c r="AQ525" s="76"/>
      <c r="AR525" s="76"/>
      <c r="AS525" s="76"/>
      <c r="AT525" s="76"/>
      <c r="AU525" s="76"/>
      <c r="AV525" s="76"/>
      <c r="AW525" s="79"/>
      <c r="AX525" s="79"/>
      <c r="AY525" s="79"/>
      <c r="AZ525" s="79"/>
      <c r="BA525" s="79"/>
      <c r="BB525" s="11"/>
      <c r="BC525" s="11"/>
      <c r="BD525" s="11"/>
      <c r="BE525" s="73"/>
      <c r="BF525" s="73"/>
      <c r="BG525" s="73"/>
      <c r="BH525" s="77"/>
      <c r="BI525" s="77"/>
      <c r="BJ525" s="77"/>
      <c r="BK525" s="77"/>
      <c r="BL525" s="77"/>
      <c r="BM525" s="77"/>
      <c r="BN525" s="158"/>
      <c r="BO525" s="158"/>
    </row>
    <row r="526" spans="1:67" ht="15" x14ac:dyDescent="0.25">
      <c r="A526" s="71"/>
      <c r="B526" s="11"/>
      <c r="C526" s="11"/>
      <c r="D526" s="11"/>
      <c r="E526" s="11"/>
      <c r="F526" s="11"/>
      <c r="G526" s="11"/>
      <c r="H526" s="11"/>
      <c r="I526" s="11"/>
      <c r="J526" s="249"/>
      <c r="K526" s="72"/>
      <c r="L526" s="73"/>
      <c r="M526" s="73"/>
      <c r="N526" s="74"/>
      <c r="O526" s="75"/>
      <c r="P526" s="73"/>
      <c r="Q526" s="76"/>
      <c r="R526" s="76"/>
      <c r="S526" s="76"/>
      <c r="T526" s="76"/>
      <c r="U526" s="76"/>
      <c r="V526" s="76"/>
      <c r="W526" s="76"/>
      <c r="X526" s="76"/>
      <c r="Y526" s="76"/>
      <c r="Z526" s="77"/>
      <c r="AA526" s="77"/>
      <c r="AB526" s="77"/>
      <c r="AC526" s="77"/>
      <c r="AD526" s="77"/>
      <c r="AE526" s="77"/>
      <c r="AF526" s="77"/>
      <c r="AG526" s="77"/>
      <c r="AH526" s="78"/>
      <c r="AI526" s="78"/>
      <c r="AJ526" s="78"/>
      <c r="AK526" s="78"/>
      <c r="AL526" s="78"/>
      <c r="AM526" s="78"/>
      <c r="AN526" s="76"/>
      <c r="AO526" s="76"/>
      <c r="AP526" s="76"/>
      <c r="AQ526" s="76"/>
      <c r="AR526" s="76"/>
      <c r="AS526" s="76"/>
      <c r="AT526" s="76"/>
      <c r="AU526" s="76"/>
      <c r="AV526" s="76"/>
      <c r="AW526" s="79"/>
      <c r="AX526" s="79"/>
      <c r="AY526" s="79"/>
      <c r="AZ526" s="79"/>
      <c r="BA526" s="79"/>
      <c r="BB526" s="11"/>
      <c r="BC526" s="11"/>
      <c r="BD526" s="11"/>
      <c r="BE526" s="73"/>
      <c r="BF526" s="73"/>
      <c r="BG526" s="73"/>
      <c r="BH526" s="77"/>
      <c r="BI526" s="77"/>
      <c r="BJ526" s="77"/>
      <c r="BK526" s="77"/>
      <c r="BL526" s="77"/>
      <c r="BM526" s="77"/>
      <c r="BN526" s="158"/>
      <c r="BO526" s="158"/>
    </row>
    <row r="527" spans="1:67" ht="15" x14ac:dyDescent="0.25">
      <c r="A527" s="71"/>
      <c r="B527" s="11"/>
      <c r="C527" s="11"/>
      <c r="D527" s="11"/>
      <c r="E527" s="11"/>
      <c r="F527" s="11"/>
      <c r="G527" s="11"/>
      <c r="H527" s="11"/>
      <c r="I527" s="11"/>
      <c r="J527" s="249"/>
      <c r="K527" s="72"/>
      <c r="L527" s="73"/>
      <c r="M527" s="73"/>
      <c r="N527" s="74"/>
      <c r="O527" s="75"/>
      <c r="P527" s="73"/>
      <c r="Q527" s="76"/>
      <c r="R527" s="76"/>
      <c r="S527" s="76"/>
      <c r="T527" s="76"/>
      <c r="U527" s="76"/>
      <c r="V527" s="76"/>
      <c r="W527" s="76"/>
      <c r="X527" s="76"/>
      <c r="Y527" s="76"/>
      <c r="Z527" s="77"/>
      <c r="AA527" s="77"/>
      <c r="AB527" s="77"/>
      <c r="AC527" s="77"/>
      <c r="AD527" s="77"/>
      <c r="AE527" s="77"/>
      <c r="AF527" s="77"/>
      <c r="AG527" s="77"/>
      <c r="AH527" s="78"/>
      <c r="AI527" s="78"/>
      <c r="AJ527" s="78"/>
      <c r="AK527" s="78"/>
      <c r="AL527" s="78"/>
      <c r="AM527" s="78"/>
      <c r="AN527" s="76"/>
      <c r="AO527" s="76"/>
      <c r="AP527" s="76"/>
      <c r="AQ527" s="76"/>
      <c r="AR527" s="76"/>
      <c r="AS527" s="76"/>
      <c r="AT527" s="76"/>
      <c r="AU527" s="76"/>
      <c r="AV527" s="76"/>
      <c r="AW527" s="79"/>
      <c r="AX527" s="79"/>
      <c r="AY527" s="79"/>
      <c r="AZ527" s="79"/>
      <c r="BA527" s="79"/>
      <c r="BB527" s="11"/>
      <c r="BC527" s="11"/>
      <c r="BD527" s="11"/>
      <c r="BE527" s="73"/>
      <c r="BF527" s="73"/>
      <c r="BG527" s="73"/>
      <c r="BH527" s="77"/>
      <c r="BI527" s="77"/>
      <c r="BJ527" s="77"/>
      <c r="BK527" s="77"/>
      <c r="BL527" s="77"/>
      <c r="BM527" s="77"/>
      <c r="BN527" s="158"/>
      <c r="BO527" s="158"/>
    </row>
    <row r="528" spans="1:67" ht="15" x14ac:dyDescent="0.25">
      <c r="A528" s="71"/>
      <c r="B528" s="11"/>
      <c r="C528" s="11"/>
      <c r="D528" s="11"/>
      <c r="E528" s="11"/>
      <c r="F528" s="11"/>
      <c r="G528" s="11"/>
      <c r="H528" s="11"/>
      <c r="I528" s="11"/>
      <c r="J528" s="249"/>
      <c r="K528" s="72"/>
      <c r="L528" s="73"/>
      <c r="M528" s="73"/>
      <c r="N528" s="74"/>
      <c r="O528" s="75"/>
      <c r="P528" s="73"/>
      <c r="Q528" s="76"/>
      <c r="R528" s="76"/>
      <c r="S528" s="76"/>
      <c r="T528" s="76"/>
      <c r="U528" s="76"/>
      <c r="V528" s="76"/>
      <c r="W528" s="76"/>
      <c r="X528" s="76"/>
      <c r="Y528" s="76"/>
      <c r="Z528" s="77"/>
      <c r="AA528" s="77"/>
      <c r="AB528" s="77"/>
      <c r="AC528" s="77"/>
      <c r="AD528" s="77"/>
      <c r="AE528" s="77"/>
      <c r="AF528" s="77"/>
      <c r="AG528" s="77"/>
      <c r="AH528" s="78"/>
      <c r="AI528" s="78"/>
      <c r="AJ528" s="78"/>
      <c r="AK528" s="78"/>
      <c r="AL528" s="78"/>
      <c r="AM528" s="78"/>
      <c r="AN528" s="76"/>
      <c r="AO528" s="76"/>
      <c r="AP528" s="76"/>
      <c r="AQ528" s="76"/>
      <c r="AR528" s="76"/>
      <c r="AS528" s="76"/>
      <c r="AT528" s="76"/>
      <c r="AU528" s="76"/>
      <c r="AV528" s="76"/>
      <c r="AW528" s="79"/>
      <c r="AX528" s="79"/>
      <c r="AY528" s="79"/>
      <c r="AZ528" s="79"/>
      <c r="BA528" s="79"/>
      <c r="BB528" s="11"/>
      <c r="BC528" s="11"/>
      <c r="BD528" s="11"/>
      <c r="BE528" s="73"/>
      <c r="BF528" s="73"/>
      <c r="BG528" s="73"/>
      <c r="BH528" s="77"/>
      <c r="BI528" s="77"/>
      <c r="BJ528" s="77"/>
      <c r="BK528" s="77"/>
      <c r="BL528" s="77"/>
      <c r="BM528" s="77"/>
      <c r="BN528" s="158"/>
      <c r="BO528" s="158"/>
    </row>
    <row r="529" spans="1:67" ht="15" x14ac:dyDescent="0.25">
      <c r="A529" s="71"/>
      <c r="B529" s="11"/>
      <c r="C529" s="11"/>
      <c r="D529" s="11"/>
      <c r="E529" s="11"/>
      <c r="F529" s="11"/>
      <c r="G529" s="11"/>
      <c r="H529" s="11"/>
      <c r="I529" s="11"/>
      <c r="J529" s="249"/>
      <c r="K529" s="72"/>
      <c r="L529" s="73"/>
      <c r="M529" s="73"/>
      <c r="N529" s="74"/>
      <c r="O529" s="75"/>
      <c r="P529" s="73"/>
      <c r="Q529" s="76"/>
      <c r="R529" s="76"/>
      <c r="S529" s="76"/>
      <c r="T529" s="76"/>
      <c r="U529" s="76"/>
      <c r="V529" s="76"/>
      <c r="W529" s="76"/>
      <c r="X529" s="76"/>
      <c r="Y529" s="76"/>
      <c r="Z529" s="77"/>
      <c r="AA529" s="77"/>
      <c r="AB529" s="77"/>
      <c r="AC529" s="77"/>
      <c r="AD529" s="77"/>
      <c r="AE529" s="77"/>
      <c r="AF529" s="77"/>
      <c r="AG529" s="77"/>
      <c r="AH529" s="78"/>
      <c r="AI529" s="78"/>
      <c r="AJ529" s="78"/>
      <c r="AK529" s="78"/>
      <c r="AL529" s="78"/>
      <c r="AM529" s="78"/>
      <c r="AN529" s="76"/>
      <c r="AO529" s="76"/>
      <c r="AP529" s="76"/>
      <c r="AQ529" s="76"/>
      <c r="AR529" s="76"/>
      <c r="AS529" s="76"/>
      <c r="AT529" s="76"/>
      <c r="AU529" s="76"/>
      <c r="AV529" s="76"/>
      <c r="AW529" s="79"/>
      <c r="AX529" s="79"/>
      <c r="AY529" s="79"/>
      <c r="AZ529" s="79"/>
      <c r="BA529" s="79"/>
      <c r="BB529" s="11"/>
      <c r="BC529" s="11"/>
      <c r="BD529" s="11"/>
      <c r="BE529" s="73"/>
      <c r="BF529" s="73"/>
      <c r="BG529" s="73"/>
      <c r="BH529" s="77"/>
      <c r="BI529" s="77"/>
      <c r="BJ529" s="77"/>
      <c r="BK529" s="77"/>
      <c r="BL529" s="77"/>
      <c r="BM529" s="77"/>
      <c r="BN529" s="158"/>
      <c r="BO529" s="158"/>
    </row>
    <row r="530" spans="1:67" ht="15" x14ac:dyDescent="0.25">
      <c r="A530" s="71"/>
      <c r="B530" s="11"/>
      <c r="C530" s="11"/>
      <c r="D530" s="11"/>
      <c r="E530" s="11"/>
      <c r="F530" s="11"/>
      <c r="G530" s="11"/>
      <c r="H530" s="11"/>
      <c r="I530" s="11"/>
      <c r="J530" s="249"/>
      <c r="K530" s="72"/>
      <c r="L530" s="73"/>
      <c r="M530" s="73"/>
      <c r="N530" s="74"/>
      <c r="O530" s="75"/>
      <c r="P530" s="73"/>
      <c r="Q530" s="76"/>
      <c r="R530" s="76"/>
      <c r="S530" s="76"/>
      <c r="T530" s="76"/>
      <c r="U530" s="76"/>
      <c r="V530" s="76"/>
      <c r="W530" s="76"/>
      <c r="X530" s="76"/>
      <c r="Y530" s="76"/>
      <c r="Z530" s="77"/>
      <c r="AA530" s="77"/>
      <c r="AB530" s="77"/>
      <c r="AC530" s="77"/>
      <c r="AD530" s="77"/>
      <c r="AE530" s="77"/>
      <c r="AF530" s="77"/>
      <c r="AG530" s="77"/>
      <c r="AH530" s="78"/>
      <c r="AI530" s="78"/>
      <c r="AJ530" s="78"/>
      <c r="AK530" s="78"/>
      <c r="AL530" s="78"/>
      <c r="AM530" s="78"/>
      <c r="AN530" s="76"/>
      <c r="AO530" s="76"/>
      <c r="AP530" s="76"/>
      <c r="AQ530" s="76"/>
      <c r="AR530" s="76"/>
      <c r="AS530" s="76"/>
      <c r="AT530" s="76"/>
      <c r="AU530" s="76"/>
      <c r="AV530" s="76"/>
      <c r="AW530" s="79"/>
      <c r="AX530" s="79"/>
      <c r="AY530" s="79"/>
      <c r="AZ530" s="79"/>
      <c r="BA530" s="79"/>
      <c r="BB530" s="11"/>
      <c r="BC530" s="11"/>
      <c r="BD530" s="11"/>
      <c r="BE530" s="73"/>
      <c r="BF530" s="73"/>
      <c r="BG530" s="73"/>
      <c r="BH530" s="77"/>
      <c r="BI530" s="77"/>
      <c r="BJ530" s="77"/>
      <c r="BK530" s="77"/>
      <c r="BL530" s="77"/>
      <c r="BM530" s="77"/>
      <c r="BN530" s="158"/>
      <c r="BO530" s="158"/>
    </row>
    <row r="531" spans="1:67" ht="15" x14ac:dyDescent="0.25">
      <c r="A531" s="71"/>
      <c r="B531" s="11"/>
      <c r="C531" s="11"/>
      <c r="D531" s="11"/>
      <c r="E531" s="11"/>
      <c r="F531" s="11"/>
      <c r="G531" s="11"/>
      <c r="H531" s="11"/>
      <c r="I531" s="11"/>
      <c r="J531" s="249"/>
      <c r="K531" s="72"/>
      <c r="L531" s="73"/>
      <c r="M531" s="73"/>
      <c r="N531" s="74"/>
      <c r="O531" s="75"/>
      <c r="P531" s="73"/>
      <c r="Q531" s="76"/>
      <c r="R531" s="76"/>
      <c r="S531" s="76"/>
      <c r="T531" s="76"/>
      <c r="U531" s="76"/>
      <c r="V531" s="76"/>
      <c r="W531" s="76"/>
      <c r="X531" s="76"/>
      <c r="Y531" s="76"/>
      <c r="Z531" s="77"/>
      <c r="AA531" s="77"/>
      <c r="AB531" s="77"/>
      <c r="AC531" s="77"/>
      <c r="AD531" s="77"/>
      <c r="AE531" s="77"/>
      <c r="AF531" s="77"/>
      <c r="AG531" s="77"/>
      <c r="AH531" s="78"/>
      <c r="AI531" s="78"/>
      <c r="AJ531" s="78"/>
      <c r="AK531" s="78"/>
      <c r="AL531" s="78"/>
      <c r="AM531" s="78"/>
      <c r="AN531" s="76"/>
      <c r="AO531" s="76"/>
      <c r="AP531" s="76"/>
      <c r="AQ531" s="76"/>
      <c r="AR531" s="76"/>
      <c r="AS531" s="76"/>
      <c r="AT531" s="76"/>
      <c r="AU531" s="76"/>
      <c r="AV531" s="76"/>
      <c r="AW531" s="79"/>
      <c r="AX531" s="79"/>
      <c r="AY531" s="79"/>
      <c r="AZ531" s="79"/>
      <c r="BA531" s="79"/>
      <c r="BB531" s="11"/>
      <c r="BC531" s="11"/>
      <c r="BD531" s="11"/>
      <c r="BE531" s="73"/>
      <c r="BF531" s="73"/>
      <c r="BG531" s="73"/>
      <c r="BH531" s="77"/>
      <c r="BI531" s="77"/>
      <c r="BJ531" s="77"/>
      <c r="BK531" s="77"/>
      <c r="BL531" s="77"/>
      <c r="BM531" s="77"/>
      <c r="BN531" s="158"/>
      <c r="BO531" s="158"/>
    </row>
    <row r="532" spans="1:67" ht="15" x14ac:dyDescent="0.25">
      <c r="A532" s="71"/>
      <c r="B532" s="11"/>
      <c r="C532" s="11"/>
      <c r="D532" s="11"/>
      <c r="E532" s="11"/>
      <c r="F532" s="11"/>
      <c r="G532" s="11"/>
      <c r="H532" s="11"/>
      <c r="I532" s="11"/>
      <c r="J532" s="249"/>
      <c r="K532" s="72"/>
      <c r="L532" s="73"/>
      <c r="M532" s="73"/>
      <c r="N532" s="74"/>
      <c r="O532" s="75"/>
      <c r="P532" s="73"/>
      <c r="Q532" s="76"/>
      <c r="R532" s="76"/>
      <c r="S532" s="76"/>
      <c r="T532" s="76"/>
      <c r="U532" s="76"/>
      <c r="V532" s="76"/>
      <c r="W532" s="76"/>
      <c r="X532" s="76"/>
      <c r="Y532" s="76"/>
      <c r="Z532" s="77"/>
      <c r="AA532" s="77"/>
      <c r="AB532" s="77"/>
      <c r="AC532" s="77"/>
      <c r="AD532" s="77"/>
      <c r="AE532" s="77"/>
      <c r="AF532" s="77"/>
      <c r="AG532" s="77"/>
      <c r="AH532" s="78"/>
      <c r="AI532" s="78"/>
      <c r="AJ532" s="78"/>
      <c r="AK532" s="78"/>
      <c r="AL532" s="78"/>
      <c r="AM532" s="78"/>
      <c r="AN532" s="76"/>
      <c r="AO532" s="76"/>
      <c r="AP532" s="76"/>
      <c r="AQ532" s="76"/>
      <c r="AR532" s="76"/>
      <c r="AS532" s="76"/>
      <c r="AT532" s="76"/>
      <c r="AU532" s="76"/>
      <c r="AV532" s="76"/>
      <c r="AW532" s="79"/>
      <c r="AX532" s="79"/>
      <c r="AY532" s="79"/>
      <c r="AZ532" s="79"/>
      <c r="BA532" s="79"/>
      <c r="BB532" s="11"/>
      <c r="BC532" s="11"/>
      <c r="BD532" s="11"/>
      <c r="BE532" s="73"/>
      <c r="BF532" s="73"/>
      <c r="BG532" s="73"/>
      <c r="BH532" s="77"/>
      <c r="BI532" s="77"/>
      <c r="BJ532" s="77"/>
      <c r="BK532" s="77"/>
      <c r="BL532" s="77"/>
      <c r="BM532" s="77"/>
      <c r="BN532" s="158"/>
      <c r="BO532" s="158"/>
    </row>
    <row r="533" spans="1:67" ht="15" x14ac:dyDescent="0.25">
      <c r="A533" s="71"/>
      <c r="B533" s="11"/>
      <c r="C533" s="11"/>
      <c r="D533" s="11"/>
      <c r="E533" s="11"/>
      <c r="F533" s="11"/>
      <c r="G533" s="11"/>
      <c r="H533" s="11"/>
      <c r="I533" s="11"/>
      <c r="J533" s="249"/>
      <c r="K533" s="72"/>
      <c r="L533" s="73"/>
      <c r="M533" s="73"/>
      <c r="N533" s="74"/>
      <c r="O533" s="75"/>
      <c r="P533" s="73"/>
      <c r="Q533" s="76"/>
      <c r="R533" s="76"/>
      <c r="S533" s="76"/>
      <c r="T533" s="76"/>
      <c r="U533" s="76"/>
      <c r="V533" s="76"/>
      <c r="W533" s="76"/>
      <c r="X533" s="76"/>
      <c r="Y533" s="76"/>
      <c r="Z533" s="77"/>
      <c r="AA533" s="77"/>
      <c r="AB533" s="77"/>
      <c r="AC533" s="77"/>
      <c r="AD533" s="77"/>
      <c r="AE533" s="77"/>
      <c r="AF533" s="77"/>
      <c r="AG533" s="77"/>
      <c r="AH533" s="78"/>
      <c r="AI533" s="78"/>
      <c r="AJ533" s="78"/>
      <c r="AK533" s="78"/>
      <c r="AL533" s="78"/>
      <c r="AM533" s="78"/>
      <c r="AN533" s="76"/>
      <c r="AO533" s="76"/>
      <c r="AP533" s="76"/>
      <c r="AQ533" s="76"/>
      <c r="AR533" s="76"/>
      <c r="AS533" s="76"/>
      <c r="AT533" s="76"/>
      <c r="AU533" s="76"/>
      <c r="AV533" s="76"/>
      <c r="AW533" s="79"/>
      <c r="AX533" s="79"/>
      <c r="AY533" s="79"/>
      <c r="AZ533" s="79"/>
      <c r="BA533" s="79"/>
      <c r="BB533" s="11"/>
      <c r="BC533" s="11"/>
      <c r="BD533" s="11"/>
      <c r="BE533" s="73"/>
      <c r="BF533" s="73"/>
      <c r="BG533" s="73"/>
      <c r="BH533" s="77"/>
      <c r="BI533" s="77"/>
      <c r="BJ533" s="77"/>
      <c r="BK533" s="77"/>
      <c r="BL533" s="77"/>
      <c r="BM533" s="77"/>
      <c r="BN533" s="158"/>
      <c r="BO533" s="158"/>
    </row>
    <row r="534" spans="1:67" ht="15" x14ac:dyDescent="0.25">
      <c r="A534" s="71"/>
      <c r="B534" s="11"/>
      <c r="C534" s="11"/>
      <c r="D534" s="11"/>
      <c r="E534" s="11"/>
      <c r="F534" s="11"/>
      <c r="G534" s="11"/>
      <c r="H534" s="11"/>
      <c r="I534" s="11"/>
      <c r="J534" s="249"/>
      <c r="K534" s="72"/>
      <c r="L534" s="73"/>
      <c r="M534" s="73"/>
      <c r="N534" s="74"/>
      <c r="O534" s="75"/>
      <c r="P534" s="73"/>
      <c r="Q534" s="76"/>
      <c r="R534" s="76"/>
      <c r="S534" s="76"/>
      <c r="T534" s="76"/>
      <c r="U534" s="76"/>
      <c r="V534" s="76"/>
      <c r="W534" s="76"/>
      <c r="X534" s="76"/>
      <c r="Y534" s="76"/>
      <c r="Z534" s="77"/>
      <c r="AA534" s="77"/>
      <c r="AB534" s="77"/>
      <c r="AC534" s="77"/>
      <c r="AD534" s="77"/>
      <c r="AE534" s="77"/>
      <c r="AF534" s="77"/>
      <c r="AG534" s="77"/>
      <c r="AH534" s="78"/>
      <c r="AI534" s="78"/>
      <c r="AJ534" s="78"/>
      <c r="AK534" s="78"/>
      <c r="AL534" s="78"/>
      <c r="AM534" s="78"/>
      <c r="AN534" s="76"/>
      <c r="AO534" s="76"/>
      <c r="AP534" s="76"/>
      <c r="AQ534" s="76"/>
      <c r="AR534" s="76"/>
      <c r="AS534" s="76"/>
      <c r="AT534" s="76"/>
      <c r="AU534" s="76"/>
      <c r="AV534" s="76"/>
      <c r="AW534" s="79"/>
      <c r="AX534" s="79"/>
      <c r="AY534" s="79"/>
      <c r="AZ534" s="79"/>
      <c r="BA534" s="79"/>
      <c r="BB534" s="11"/>
      <c r="BC534" s="11"/>
      <c r="BD534" s="11"/>
      <c r="BE534" s="73"/>
      <c r="BF534" s="73"/>
      <c r="BG534" s="73"/>
      <c r="BH534" s="77"/>
      <c r="BI534" s="77"/>
      <c r="BJ534" s="77"/>
      <c r="BK534" s="77"/>
      <c r="BL534" s="77"/>
      <c r="BM534" s="77"/>
      <c r="BN534" s="158"/>
      <c r="BO534" s="158"/>
    </row>
    <row r="535" spans="1:67" ht="15" x14ac:dyDescent="0.25">
      <c r="A535" s="71"/>
      <c r="B535" s="11"/>
      <c r="C535" s="11"/>
      <c r="D535" s="11"/>
      <c r="E535" s="11"/>
      <c r="F535" s="11"/>
      <c r="G535" s="11"/>
      <c r="H535" s="11"/>
      <c r="I535" s="11"/>
      <c r="J535" s="249"/>
      <c r="K535" s="72"/>
      <c r="L535" s="73"/>
      <c r="M535" s="73"/>
      <c r="N535" s="74"/>
      <c r="O535" s="75"/>
      <c r="P535" s="73"/>
      <c r="Q535" s="76"/>
      <c r="R535" s="76"/>
      <c r="S535" s="76"/>
      <c r="T535" s="76"/>
      <c r="U535" s="76"/>
      <c r="V535" s="76"/>
      <c r="W535" s="76"/>
      <c r="X535" s="76"/>
      <c r="Y535" s="76"/>
      <c r="Z535" s="77"/>
      <c r="AA535" s="77"/>
      <c r="AB535" s="77"/>
      <c r="AC535" s="77"/>
      <c r="AD535" s="77"/>
      <c r="AE535" s="77"/>
      <c r="AF535" s="77"/>
      <c r="AG535" s="77"/>
      <c r="AH535" s="78"/>
      <c r="AI535" s="78"/>
      <c r="AJ535" s="78"/>
      <c r="AK535" s="78"/>
      <c r="AL535" s="78"/>
      <c r="AM535" s="78"/>
      <c r="AN535" s="76"/>
      <c r="AO535" s="76"/>
      <c r="AP535" s="76"/>
      <c r="AQ535" s="76"/>
      <c r="AR535" s="76"/>
      <c r="AS535" s="76"/>
      <c r="AT535" s="76"/>
      <c r="AU535" s="76"/>
      <c r="AV535" s="76"/>
      <c r="AW535" s="79"/>
      <c r="AX535" s="79"/>
      <c r="AY535" s="79"/>
      <c r="AZ535" s="79"/>
      <c r="BA535" s="79"/>
      <c r="BB535" s="11"/>
      <c r="BC535" s="11"/>
      <c r="BD535" s="11"/>
      <c r="BE535" s="73"/>
      <c r="BF535" s="73"/>
      <c r="BG535" s="73"/>
      <c r="BH535" s="77"/>
      <c r="BI535" s="77"/>
      <c r="BJ535" s="77"/>
      <c r="BK535" s="77"/>
      <c r="BL535" s="77"/>
      <c r="BM535" s="77"/>
      <c r="BN535" s="158"/>
      <c r="BO535" s="158"/>
    </row>
    <row r="536" spans="1:67" ht="15" x14ac:dyDescent="0.25">
      <c r="A536" s="71"/>
      <c r="B536" s="11"/>
      <c r="C536" s="11"/>
      <c r="D536" s="11"/>
      <c r="E536" s="11"/>
      <c r="F536" s="11"/>
      <c r="G536" s="11"/>
      <c r="H536" s="11"/>
      <c r="I536" s="11"/>
      <c r="J536" s="249"/>
      <c r="K536" s="72"/>
      <c r="L536" s="73"/>
      <c r="M536" s="73"/>
      <c r="N536" s="74"/>
      <c r="O536" s="75"/>
      <c r="P536" s="73"/>
      <c r="Q536" s="76"/>
      <c r="R536" s="76"/>
      <c r="S536" s="76"/>
      <c r="T536" s="76"/>
      <c r="U536" s="76"/>
      <c r="V536" s="76"/>
      <c r="W536" s="76"/>
      <c r="X536" s="76"/>
      <c r="Y536" s="76"/>
      <c r="Z536" s="77"/>
      <c r="AA536" s="77"/>
      <c r="AB536" s="77"/>
      <c r="AC536" s="77"/>
      <c r="AD536" s="77"/>
      <c r="AE536" s="77"/>
      <c r="AF536" s="77"/>
      <c r="AG536" s="77"/>
      <c r="AH536" s="78"/>
      <c r="AI536" s="78"/>
      <c r="AJ536" s="78"/>
      <c r="AK536" s="78"/>
      <c r="AL536" s="78"/>
      <c r="AM536" s="78"/>
      <c r="AN536" s="76"/>
      <c r="AO536" s="76"/>
      <c r="AP536" s="76"/>
      <c r="AQ536" s="76"/>
      <c r="AR536" s="76"/>
      <c r="AS536" s="76"/>
      <c r="AT536" s="76"/>
      <c r="AU536" s="76"/>
      <c r="AV536" s="76"/>
      <c r="AW536" s="79"/>
      <c r="AX536" s="79"/>
      <c r="AY536" s="79"/>
      <c r="AZ536" s="79"/>
      <c r="BA536" s="79"/>
      <c r="BB536" s="11"/>
      <c r="BC536" s="11"/>
      <c r="BD536" s="11"/>
      <c r="BE536" s="73"/>
      <c r="BF536" s="73"/>
      <c r="BG536" s="73"/>
      <c r="BH536" s="77"/>
      <c r="BI536" s="77"/>
      <c r="BJ536" s="77"/>
      <c r="BK536" s="77"/>
      <c r="BL536" s="77"/>
      <c r="BM536" s="77"/>
      <c r="BN536" s="158"/>
      <c r="BO536" s="158"/>
    </row>
    <row r="537" spans="1:67" ht="15" x14ac:dyDescent="0.25">
      <c r="A537" s="71"/>
      <c r="B537" s="11"/>
      <c r="C537" s="11"/>
      <c r="D537" s="11"/>
      <c r="E537" s="11"/>
      <c r="F537" s="11"/>
      <c r="G537" s="11"/>
      <c r="H537" s="11"/>
      <c r="I537" s="11"/>
      <c r="J537" s="249"/>
      <c r="K537" s="72"/>
      <c r="L537" s="73"/>
      <c r="M537" s="73"/>
      <c r="N537" s="74"/>
      <c r="O537" s="75"/>
      <c r="P537" s="73"/>
      <c r="Q537" s="76"/>
      <c r="R537" s="76"/>
      <c r="S537" s="76"/>
      <c r="T537" s="76"/>
      <c r="U537" s="76"/>
      <c r="V537" s="76"/>
      <c r="W537" s="76"/>
      <c r="X537" s="76"/>
      <c r="Y537" s="76"/>
      <c r="Z537" s="77"/>
      <c r="AA537" s="77"/>
      <c r="AB537" s="77"/>
      <c r="AC537" s="77"/>
      <c r="AD537" s="77"/>
      <c r="AE537" s="77"/>
      <c r="AF537" s="77"/>
      <c r="AG537" s="77"/>
      <c r="AH537" s="78"/>
      <c r="AI537" s="78"/>
      <c r="AJ537" s="78"/>
      <c r="AK537" s="78"/>
      <c r="AL537" s="78"/>
      <c r="AM537" s="78"/>
      <c r="AN537" s="76"/>
      <c r="AO537" s="76"/>
      <c r="AP537" s="76"/>
      <c r="AQ537" s="76"/>
      <c r="AR537" s="76"/>
      <c r="AS537" s="76"/>
      <c r="AT537" s="76"/>
      <c r="AU537" s="76"/>
      <c r="AV537" s="76"/>
      <c r="AW537" s="79"/>
      <c r="AX537" s="79"/>
      <c r="AY537" s="79"/>
      <c r="AZ537" s="79"/>
      <c r="BA537" s="79"/>
      <c r="BB537" s="11"/>
      <c r="BC537" s="11"/>
      <c r="BD537" s="11"/>
      <c r="BE537" s="73"/>
      <c r="BF537" s="73"/>
      <c r="BG537" s="73"/>
      <c r="BH537" s="77"/>
      <c r="BI537" s="77"/>
      <c r="BJ537" s="77"/>
      <c r="BK537" s="77"/>
      <c r="BL537" s="77"/>
      <c r="BM537" s="77"/>
      <c r="BN537" s="158"/>
      <c r="BO537" s="158"/>
    </row>
    <row r="538" spans="1:67" ht="15" x14ac:dyDescent="0.25">
      <c r="A538" s="71"/>
      <c r="B538" s="11"/>
      <c r="C538" s="11"/>
      <c r="D538" s="11"/>
      <c r="E538" s="11"/>
      <c r="F538" s="11"/>
      <c r="G538" s="11"/>
      <c r="H538" s="11"/>
      <c r="I538" s="11"/>
      <c r="J538" s="249"/>
      <c r="K538" s="72"/>
      <c r="L538" s="73"/>
      <c r="M538" s="73"/>
      <c r="N538" s="74"/>
      <c r="O538" s="75"/>
      <c r="P538" s="73"/>
      <c r="Q538" s="76"/>
      <c r="R538" s="76"/>
      <c r="S538" s="76"/>
      <c r="T538" s="76"/>
      <c r="U538" s="76"/>
      <c r="V538" s="76"/>
      <c r="W538" s="76"/>
      <c r="X538" s="76"/>
      <c r="Y538" s="76"/>
      <c r="Z538" s="77"/>
      <c r="AA538" s="77"/>
      <c r="AB538" s="77"/>
      <c r="AC538" s="77"/>
      <c r="AD538" s="77"/>
      <c r="AE538" s="77"/>
      <c r="AF538" s="77"/>
      <c r="AG538" s="77"/>
      <c r="AH538" s="78"/>
      <c r="AI538" s="78"/>
      <c r="AJ538" s="78"/>
      <c r="AK538" s="78"/>
      <c r="AL538" s="78"/>
      <c r="AM538" s="78"/>
      <c r="AN538" s="76"/>
      <c r="AO538" s="76"/>
      <c r="AP538" s="76"/>
      <c r="AQ538" s="76"/>
      <c r="AR538" s="76"/>
      <c r="AS538" s="76"/>
      <c r="AT538" s="76"/>
      <c r="AU538" s="76"/>
      <c r="AV538" s="76"/>
      <c r="AW538" s="79"/>
      <c r="AX538" s="79"/>
      <c r="AY538" s="79"/>
      <c r="AZ538" s="79"/>
      <c r="BA538" s="79"/>
      <c r="BB538" s="11"/>
      <c r="BC538" s="11"/>
      <c r="BD538" s="11"/>
      <c r="BE538" s="73"/>
      <c r="BF538" s="73"/>
      <c r="BG538" s="73"/>
      <c r="BH538" s="77"/>
      <c r="BI538" s="77"/>
      <c r="BJ538" s="77"/>
      <c r="BK538" s="77"/>
      <c r="BL538" s="77"/>
      <c r="BM538" s="77"/>
      <c r="BN538" s="158"/>
      <c r="BO538" s="158"/>
    </row>
    <row r="539" spans="1:67" ht="15" x14ac:dyDescent="0.25">
      <c r="A539" s="71"/>
      <c r="B539" s="11"/>
      <c r="C539" s="11"/>
      <c r="D539" s="11"/>
      <c r="E539" s="11"/>
      <c r="F539" s="11"/>
      <c r="G539" s="11"/>
      <c r="H539" s="11"/>
      <c r="I539" s="11"/>
      <c r="J539" s="249"/>
      <c r="K539" s="72"/>
      <c r="L539" s="73"/>
      <c r="M539" s="73"/>
      <c r="N539" s="74"/>
      <c r="O539" s="75"/>
      <c r="P539" s="73"/>
      <c r="Q539" s="76"/>
      <c r="R539" s="76"/>
      <c r="S539" s="76"/>
      <c r="T539" s="76"/>
      <c r="U539" s="76"/>
      <c r="V539" s="76"/>
      <c r="W539" s="76"/>
      <c r="X539" s="76"/>
      <c r="Y539" s="76"/>
      <c r="Z539" s="77"/>
      <c r="AA539" s="77"/>
      <c r="AB539" s="77"/>
      <c r="AC539" s="77"/>
      <c r="AD539" s="77"/>
      <c r="AE539" s="77"/>
      <c r="AF539" s="77"/>
      <c r="AG539" s="77"/>
      <c r="AH539" s="78"/>
      <c r="AI539" s="78"/>
      <c r="AJ539" s="78"/>
      <c r="AK539" s="78"/>
      <c r="AL539" s="78"/>
      <c r="AM539" s="78"/>
      <c r="AN539" s="76"/>
      <c r="AO539" s="76"/>
      <c r="AP539" s="76"/>
      <c r="AQ539" s="76"/>
      <c r="AR539" s="76"/>
      <c r="AS539" s="76"/>
      <c r="AT539" s="76"/>
      <c r="AU539" s="76"/>
      <c r="AV539" s="76"/>
      <c r="AW539" s="79"/>
      <c r="AX539" s="79"/>
      <c r="AY539" s="79"/>
      <c r="AZ539" s="79"/>
      <c r="BA539" s="79"/>
      <c r="BB539" s="11"/>
      <c r="BC539" s="11"/>
      <c r="BD539" s="11"/>
      <c r="BE539" s="73"/>
      <c r="BF539" s="73"/>
      <c r="BG539" s="73"/>
      <c r="BH539" s="77"/>
      <c r="BI539" s="77"/>
      <c r="BJ539" s="77"/>
      <c r="BK539" s="77"/>
      <c r="BL539" s="77"/>
      <c r="BM539" s="77"/>
      <c r="BN539" s="158"/>
      <c r="BO539" s="158"/>
    </row>
    <row r="540" spans="1:67" ht="15" x14ac:dyDescent="0.25">
      <c r="A540" s="71"/>
      <c r="B540" s="11"/>
      <c r="C540" s="11"/>
      <c r="D540" s="11"/>
      <c r="E540" s="11"/>
      <c r="F540" s="11"/>
      <c r="G540" s="11"/>
      <c r="H540" s="11"/>
      <c r="I540" s="11"/>
      <c r="J540" s="249"/>
      <c r="K540" s="72"/>
      <c r="L540" s="73"/>
      <c r="M540" s="73"/>
      <c r="N540" s="74"/>
      <c r="O540" s="75"/>
      <c r="P540" s="73"/>
      <c r="Q540" s="76"/>
      <c r="R540" s="76"/>
      <c r="S540" s="76"/>
      <c r="T540" s="76"/>
      <c r="U540" s="76"/>
      <c r="V540" s="76"/>
      <c r="W540" s="76"/>
      <c r="X540" s="76"/>
      <c r="Y540" s="76"/>
      <c r="Z540" s="77"/>
      <c r="AA540" s="77"/>
      <c r="AB540" s="77"/>
      <c r="AC540" s="77"/>
      <c r="AD540" s="77"/>
      <c r="AE540" s="77"/>
      <c r="AF540" s="77"/>
      <c r="AG540" s="77"/>
      <c r="AH540" s="78"/>
      <c r="AI540" s="78"/>
      <c r="AJ540" s="78"/>
      <c r="AK540" s="78"/>
      <c r="AL540" s="78"/>
      <c r="AM540" s="78"/>
      <c r="AN540" s="76"/>
      <c r="AO540" s="76"/>
      <c r="AP540" s="76"/>
      <c r="AQ540" s="76"/>
      <c r="AR540" s="76"/>
      <c r="AS540" s="76"/>
      <c r="AT540" s="76"/>
      <c r="AU540" s="76"/>
      <c r="AV540" s="76"/>
      <c r="AW540" s="79"/>
      <c r="AX540" s="79"/>
      <c r="AY540" s="79"/>
      <c r="AZ540" s="79"/>
      <c r="BA540" s="79"/>
      <c r="BB540" s="11"/>
      <c r="BC540" s="11"/>
      <c r="BD540" s="11"/>
      <c r="BE540" s="73"/>
      <c r="BF540" s="73"/>
      <c r="BG540" s="73"/>
      <c r="BH540" s="77"/>
      <c r="BI540" s="77"/>
      <c r="BJ540" s="77"/>
      <c r="BK540" s="77"/>
      <c r="BL540" s="77"/>
      <c r="BM540" s="77"/>
      <c r="BN540" s="158"/>
      <c r="BO540" s="158"/>
    </row>
    <row r="541" spans="1:67" ht="15" x14ac:dyDescent="0.25">
      <c r="A541" s="71"/>
      <c r="B541" s="11"/>
      <c r="C541" s="11"/>
      <c r="D541" s="11"/>
      <c r="E541" s="11"/>
      <c r="F541" s="11"/>
      <c r="G541" s="11"/>
      <c r="H541" s="11"/>
      <c r="I541" s="11"/>
      <c r="J541" s="249"/>
      <c r="K541" s="72"/>
      <c r="L541" s="73"/>
      <c r="M541" s="73"/>
      <c r="N541" s="74"/>
      <c r="O541" s="75"/>
      <c r="P541" s="73"/>
      <c r="Q541" s="76"/>
      <c r="R541" s="76"/>
      <c r="S541" s="76"/>
      <c r="T541" s="76"/>
      <c r="U541" s="76"/>
      <c r="V541" s="76"/>
      <c r="W541" s="76"/>
      <c r="X541" s="76"/>
      <c r="Y541" s="76"/>
      <c r="Z541" s="77"/>
      <c r="AA541" s="77"/>
      <c r="AB541" s="77"/>
      <c r="AC541" s="77"/>
      <c r="AD541" s="77"/>
      <c r="AE541" s="77"/>
      <c r="AF541" s="77"/>
      <c r="AG541" s="77"/>
      <c r="AH541" s="78"/>
      <c r="AI541" s="78"/>
      <c r="AJ541" s="78"/>
      <c r="AK541" s="78"/>
      <c r="AL541" s="78"/>
      <c r="AM541" s="78"/>
      <c r="AN541" s="76"/>
      <c r="AO541" s="76"/>
      <c r="AP541" s="76"/>
      <c r="AQ541" s="76"/>
      <c r="AR541" s="76"/>
      <c r="AS541" s="76"/>
      <c r="AT541" s="76"/>
      <c r="AU541" s="76"/>
      <c r="AV541" s="76"/>
      <c r="AW541" s="79"/>
      <c r="AX541" s="79"/>
      <c r="AY541" s="79"/>
      <c r="AZ541" s="79"/>
      <c r="BA541" s="79"/>
      <c r="BB541" s="11"/>
      <c r="BC541" s="11"/>
      <c r="BD541" s="11"/>
      <c r="BE541" s="73"/>
      <c r="BF541" s="73"/>
      <c r="BG541" s="73"/>
      <c r="BH541" s="77"/>
      <c r="BI541" s="77"/>
      <c r="BJ541" s="77"/>
      <c r="BK541" s="77"/>
      <c r="BL541" s="77"/>
      <c r="BM541" s="77"/>
      <c r="BN541" s="158"/>
      <c r="BO541" s="158"/>
    </row>
    <row r="542" spans="1:67" ht="15" x14ac:dyDescent="0.25">
      <c r="A542" s="71"/>
      <c r="B542" s="11"/>
      <c r="C542" s="11"/>
      <c r="D542" s="11"/>
      <c r="E542" s="11"/>
      <c r="F542" s="11"/>
      <c r="G542" s="11"/>
      <c r="H542" s="11"/>
      <c r="I542" s="11"/>
      <c r="J542" s="249"/>
      <c r="K542" s="72"/>
      <c r="L542" s="73"/>
      <c r="M542" s="73"/>
      <c r="N542" s="74"/>
      <c r="O542" s="75"/>
      <c r="P542" s="73"/>
      <c r="Q542" s="76"/>
      <c r="R542" s="76"/>
      <c r="S542" s="76"/>
      <c r="T542" s="76"/>
      <c r="U542" s="76"/>
      <c r="V542" s="76"/>
      <c r="W542" s="76"/>
      <c r="X542" s="76"/>
      <c r="Y542" s="76"/>
      <c r="Z542" s="77"/>
      <c r="AA542" s="77"/>
      <c r="AB542" s="77"/>
      <c r="AC542" s="77"/>
      <c r="AD542" s="77"/>
      <c r="AE542" s="77"/>
      <c r="AF542" s="77"/>
      <c r="AG542" s="77"/>
      <c r="AH542" s="78"/>
      <c r="AI542" s="78"/>
      <c r="AJ542" s="78"/>
      <c r="AK542" s="78"/>
      <c r="AL542" s="78"/>
      <c r="AM542" s="78"/>
      <c r="AN542" s="76"/>
      <c r="AO542" s="76"/>
      <c r="AP542" s="76"/>
      <c r="AQ542" s="76"/>
      <c r="AR542" s="76"/>
      <c r="AS542" s="76"/>
      <c r="AT542" s="76"/>
      <c r="AU542" s="76"/>
      <c r="AV542" s="76"/>
      <c r="AW542" s="79"/>
      <c r="AX542" s="79"/>
      <c r="AY542" s="79"/>
      <c r="AZ542" s="79"/>
      <c r="BA542" s="79"/>
      <c r="BB542" s="11"/>
      <c r="BC542" s="11"/>
      <c r="BD542" s="11"/>
      <c r="BE542" s="73"/>
      <c r="BF542" s="73"/>
      <c r="BG542" s="73"/>
      <c r="BH542" s="77"/>
      <c r="BI542" s="77"/>
      <c r="BJ542" s="77"/>
      <c r="BK542" s="77"/>
      <c r="BL542" s="77"/>
      <c r="BM542" s="77"/>
      <c r="BN542" s="158"/>
      <c r="BO542" s="158"/>
    </row>
    <row r="543" spans="1:67" ht="15" x14ac:dyDescent="0.25">
      <c r="A543" s="71"/>
      <c r="B543" s="11"/>
      <c r="C543" s="11"/>
      <c r="D543" s="11"/>
      <c r="E543" s="11"/>
      <c r="F543" s="11"/>
      <c r="G543" s="11"/>
      <c r="H543" s="11"/>
      <c r="I543" s="11"/>
      <c r="J543" s="249"/>
      <c r="K543" s="72"/>
      <c r="L543" s="73"/>
      <c r="M543" s="73"/>
      <c r="N543" s="74"/>
      <c r="O543" s="75"/>
      <c r="P543" s="73"/>
      <c r="Q543" s="76"/>
      <c r="R543" s="76"/>
      <c r="S543" s="76"/>
      <c r="T543" s="76"/>
      <c r="U543" s="76"/>
      <c r="V543" s="76"/>
      <c r="W543" s="76"/>
      <c r="X543" s="76"/>
      <c r="Y543" s="76"/>
      <c r="Z543" s="77"/>
      <c r="AA543" s="77"/>
      <c r="AB543" s="77"/>
      <c r="AC543" s="77"/>
      <c r="AD543" s="77"/>
      <c r="AE543" s="77"/>
      <c r="AF543" s="77"/>
      <c r="AG543" s="77"/>
      <c r="AH543" s="78"/>
      <c r="AI543" s="78"/>
      <c r="AJ543" s="78"/>
      <c r="AK543" s="78"/>
      <c r="AL543" s="78"/>
      <c r="AM543" s="78"/>
      <c r="AN543" s="76"/>
      <c r="AO543" s="76"/>
      <c r="AP543" s="76"/>
      <c r="AQ543" s="76"/>
      <c r="AR543" s="76"/>
      <c r="AS543" s="76"/>
      <c r="AT543" s="76"/>
      <c r="AU543" s="76"/>
      <c r="AV543" s="76"/>
      <c r="AW543" s="79"/>
      <c r="AX543" s="79"/>
      <c r="AY543" s="79"/>
      <c r="AZ543" s="79"/>
      <c r="BA543" s="79"/>
      <c r="BB543" s="11"/>
      <c r="BC543" s="11"/>
      <c r="BD543" s="11"/>
      <c r="BE543" s="73"/>
      <c r="BF543" s="73"/>
      <c r="BG543" s="73"/>
      <c r="BH543" s="77"/>
      <c r="BI543" s="77"/>
      <c r="BJ543" s="77"/>
      <c r="BK543" s="77"/>
      <c r="BL543" s="77"/>
      <c r="BM543" s="77"/>
      <c r="BN543" s="158"/>
      <c r="BO543" s="158"/>
    </row>
    <row r="544" spans="1:67" ht="15" x14ac:dyDescent="0.25">
      <c r="A544" s="71"/>
      <c r="B544" s="11"/>
      <c r="C544" s="11"/>
      <c r="D544" s="11"/>
      <c r="E544" s="11"/>
      <c r="F544" s="11"/>
      <c r="G544" s="11"/>
      <c r="H544" s="11"/>
      <c r="I544" s="11"/>
      <c r="J544" s="249"/>
      <c r="K544" s="72"/>
      <c r="L544" s="73"/>
      <c r="M544" s="73"/>
      <c r="N544" s="74"/>
      <c r="O544" s="75"/>
      <c r="P544" s="73"/>
      <c r="Q544" s="76"/>
      <c r="R544" s="76"/>
      <c r="S544" s="76"/>
      <c r="T544" s="76"/>
      <c r="U544" s="76"/>
      <c r="V544" s="76"/>
      <c r="W544" s="76"/>
      <c r="X544" s="76"/>
      <c r="Y544" s="76"/>
      <c r="Z544" s="77"/>
      <c r="AA544" s="77"/>
      <c r="AB544" s="77"/>
      <c r="AC544" s="77"/>
      <c r="AD544" s="77"/>
      <c r="AE544" s="77"/>
      <c r="AF544" s="77"/>
      <c r="AG544" s="77"/>
      <c r="AH544" s="78"/>
      <c r="AI544" s="78"/>
      <c r="AJ544" s="78"/>
      <c r="AK544" s="78"/>
      <c r="AL544" s="78"/>
      <c r="AM544" s="78"/>
      <c r="AN544" s="76"/>
      <c r="AO544" s="76"/>
      <c r="AP544" s="76"/>
      <c r="AQ544" s="76"/>
      <c r="AR544" s="76"/>
      <c r="AS544" s="76"/>
      <c r="AT544" s="76"/>
      <c r="AU544" s="76"/>
      <c r="AV544" s="76"/>
      <c r="AW544" s="79"/>
      <c r="AX544" s="79"/>
      <c r="AY544" s="79"/>
      <c r="AZ544" s="79"/>
      <c r="BA544" s="79"/>
      <c r="BB544" s="11"/>
      <c r="BC544" s="11"/>
      <c r="BD544" s="11"/>
      <c r="BE544" s="73"/>
      <c r="BF544" s="73"/>
      <c r="BG544" s="73"/>
      <c r="BH544" s="77"/>
      <c r="BI544" s="77"/>
      <c r="BJ544" s="77"/>
      <c r="BK544" s="77"/>
      <c r="BL544" s="77"/>
      <c r="BM544" s="77"/>
      <c r="BN544" s="158"/>
      <c r="BO544" s="158"/>
    </row>
    <row r="545" spans="1:67" ht="15" x14ac:dyDescent="0.25">
      <c r="A545" s="71"/>
      <c r="B545" s="11"/>
      <c r="C545" s="11"/>
      <c r="D545" s="11"/>
      <c r="E545" s="11"/>
      <c r="F545" s="11"/>
      <c r="G545" s="11"/>
      <c r="H545" s="11"/>
      <c r="I545" s="11"/>
      <c r="J545" s="249"/>
      <c r="K545" s="72"/>
      <c r="L545" s="73"/>
      <c r="M545" s="73"/>
      <c r="N545" s="74"/>
      <c r="O545" s="75"/>
      <c r="P545" s="73"/>
      <c r="Q545" s="76"/>
      <c r="R545" s="76"/>
      <c r="S545" s="76"/>
      <c r="T545" s="76"/>
      <c r="U545" s="76"/>
      <c r="V545" s="76"/>
      <c r="W545" s="76"/>
      <c r="X545" s="76"/>
      <c r="Y545" s="76"/>
      <c r="Z545" s="77"/>
      <c r="AA545" s="77"/>
      <c r="AB545" s="77"/>
      <c r="AC545" s="77"/>
      <c r="AD545" s="77"/>
      <c r="AE545" s="77"/>
      <c r="AF545" s="77"/>
      <c r="AG545" s="77"/>
      <c r="AH545" s="78"/>
      <c r="AI545" s="78"/>
      <c r="AJ545" s="78"/>
      <c r="AK545" s="78"/>
      <c r="AL545" s="78"/>
      <c r="AM545" s="78"/>
      <c r="AN545" s="76"/>
      <c r="AO545" s="76"/>
      <c r="AP545" s="76"/>
      <c r="AQ545" s="76"/>
      <c r="AR545" s="76"/>
      <c r="AS545" s="76"/>
      <c r="AT545" s="76"/>
      <c r="AU545" s="76"/>
      <c r="AV545" s="76"/>
      <c r="AW545" s="79"/>
      <c r="AX545" s="79"/>
      <c r="AY545" s="79"/>
      <c r="AZ545" s="79"/>
      <c r="BA545" s="79"/>
      <c r="BB545" s="11"/>
      <c r="BC545" s="11"/>
      <c r="BD545" s="11"/>
      <c r="BE545" s="73"/>
      <c r="BF545" s="73"/>
      <c r="BG545" s="73"/>
      <c r="BH545" s="77"/>
      <c r="BI545" s="77"/>
      <c r="BJ545" s="77"/>
      <c r="BK545" s="77"/>
      <c r="BL545" s="77"/>
      <c r="BM545" s="77"/>
      <c r="BN545" s="158"/>
      <c r="BO545" s="158"/>
    </row>
    <row r="546" spans="1:67" ht="15" x14ac:dyDescent="0.25">
      <c r="A546" s="71"/>
      <c r="B546" s="11"/>
      <c r="C546" s="11"/>
      <c r="D546" s="11"/>
      <c r="E546" s="11"/>
      <c r="F546" s="11"/>
      <c r="G546" s="11"/>
      <c r="H546" s="11"/>
      <c r="I546" s="11"/>
      <c r="J546" s="249"/>
      <c r="K546" s="72"/>
      <c r="L546" s="73"/>
      <c r="M546" s="73"/>
      <c r="N546" s="74"/>
      <c r="O546" s="75"/>
      <c r="P546" s="73"/>
      <c r="Q546" s="76"/>
      <c r="R546" s="76"/>
      <c r="S546" s="76"/>
      <c r="T546" s="76"/>
      <c r="U546" s="76"/>
      <c r="V546" s="76"/>
      <c r="W546" s="76"/>
      <c r="X546" s="76"/>
      <c r="Y546" s="76"/>
      <c r="Z546" s="77"/>
      <c r="AA546" s="77"/>
      <c r="AB546" s="77"/>
      <c r="AC546" s="77"/>
      <c r="AD546" s="77"/>
      <c r="AE546" s="77"/>
      <c r="AF546" s="77"/>
      <c r="AG546" s="77"/>
      <c r="AH546" s="78"/>
      <c r="AI546" s="78"/>
      <c r="AJ546" s="78"/>
      <c r="AK546" s="78"/>
      <c r="AL546" s="78"/>
      <c r="AM546" s="78"/>
      <c r="AN546" s="76"/>
      <c r="AO546" s="76"/>
      <c r="AP546" s="76"/>
      <c r="AQ546" s="76"/>
      <c r="AR546" s="76"/>
      <c r="AS546" s="76"/>
      <c r="AT546" s="76"/>
      <c r="AU546" s="76"/>
      <c r="AV546" s="76"/>
      <c r="AW546" s="79"/>
      <c r="AX546" s="79"/>
      <c r="AY546" s="79"/>
      <c r="AZ546" s="79"/>
      <c r="BA546" s="79"/>
      <c r="BB546" s="11"/>
      <c r="BC546" s="11"/>
      <c r="BD546" s="11"/>
      <c r="BE546" s="73"/>
      <c r="BF546" s="73"/>
      <c r="BG546" s="73"/>
      <c r="BH546" s="77"/>
      <c r="BI546" s="77"/>
      <c r="BJ546" s="77"/>
      <c r="BK546" s="77"/>
      <c r="BL546" s="77"/>
      <c r="BM546" s="77"/>
      <c r="BN546" s="158"/>
      <c r="BO546" s="158"/>
    </row>
    <row r="547" spans="1:67" ht="15" x14ac:dyDescent="0.25">
      <c r="A547" s="71"/>
      <c r="B547" s="11"/>
      <c r="C547" s="11"/>
      <c r="D547" s="11"/>
      <c r="E547" s="11"/>
      <c r="F547" s="11"/>
      <c r="G547" s="11"/>
      <c r="H547" s="11"/>
      <c r="I547" s="11"/>
      <c r="J547" s="249"/>
      <c r="K547" s="72"/>
      <c r="L547" s="73"/>
      <c r="M547" s="73"/>
      <c r="N547" s="74"/>
      <c r="O547" s="75"/>
      <c r="P547" s="73"/>
      <c r="Q547" s="76"/>
      <c r="R547" s="76"/>
      <c r="S547" s="76"/>
      <c r="T547" s="76"/>
      <c r="U547" s="76"/>
      <c r="V547" s="76"/>
      <c r="W547" s="76"/>
      <c r="X547" s="76"/>
      <c r="Y547" s="76"/>
      <c r="Z547" s="77"/>
      <c r="AA547" s="77"/>
      <c r="AB547" s="77"/>
      <c r="AC547" s="77"/>
      <c r="AD547" s="77"/>
      <c r="AE547" s="77"/>
      <c r="AF547" s="77"/>
      <c r="AG547" s="77"/>
      <c r="AH547" s="78"/>
      <c r="AI547" s="78"/>
      <c r="AJ547" s="78"/>
      <c r="AK547" s="78"/>
      <c r="AL547" s="78"/>
      <c r="AM547" s="78"/>
      <c r="AN547" s="76"/>
      <c r="AO547" s="76"/>
      <c r="AP547" s="76"/>
      <c r="AQ547" s="76"/>
      <c r="AR547" s="76"/>
      <c r="AS547" s="76"/>
      <c r="AT547" s="76"/>
      <c r="AU547" s="76"/>
      <c r="AV547" s="76"/>
      <c r="AW547" s="79"/>
      <c r="AX547" s="79"/>
      <c r="AY547" s="79"/>
      <c r="AZ547" s="79"/>
      <c r="BA547" s="79"/>
      <c r="BB547" s="11"/>
      <c r="BC547" s="11"/>
      <c r="BD547" s="11"/>
      <c r="BE547" s="73"/>
      <c r="BF547" s="73"/>
      <c r="BG547" s="73"/>
      <c r="BH547" s="77"/>
      <c r="BI547" s="77"/>
      <c r="BJ547" s="77"/>
      <c r="BK547" s="77"/>
      <c r="BL547" s="77"/>
      <c r="BM547" s="77"/>
      <c r="BN547" s="158"/>
      <c r="BO547" s="158"/>
    </row>
    <row r="548" spans="1:67" ht="15" x14ac:dyDescent="0.25">
      <c r="A548" s="71"/>
      <c r="B548" s="11"/>
      <c r="C548" s="11"/>
      <c r="D548" s="11"/>
      <c r="E548" s="11"/>
      <c r="F548" s="11"/>
      <c r="G548" s="11"/>
      <c r="H548" s="11"/>
      <c r="I548" s="11"/>
      <c r="J548" s="249"/>
      <c r="K548" s="72"/>
      <c r="L548" s="73"/>
      <c r="M548" s="73"/>
      <c r="N548" s="74"/>
      <c r="O548" s="75"/>
      <c r="P548" s="73"/>
      <c r="Q548" s="76"/>
      <c r="R548" s="76"/>
      <c r="S548" s="76"/>
      <c r="T548" s="76"/>
      <c r="U548" s="76"/>
      <c r="V548" s="76"/>
      <c r="W548" s="76"/>
      <c r="X548" s="76"/>
      <c r="Y548" s="76"/>
      <c r="Z548" s="77"/>
      <c r="AA548" s="77"/>
      <c r="AB548" s="77"/>
      <c r="AC548" s="77"/>
      <c r="AD548" s="77"/>
      <c r="AE548" s="77"/>
      <c r="AF548" s="77"/>
      <c r="AG548" s="77"/>
      <c r="AH548" s="78"/>
      <c r="AI548" s="78"/>
      <c r="AJ548" s="78"/>
      <c r="AK548" s="78"/>
      <c r="AL548" s="78"/>
      <c r="AM548" s="78"/>
      <c r="AN548" s="76"/>
      <c r="AO548" s="76"/>
      <c r="AP548" s="76"/>
      <c r="AQ548" s="76"/>
      <c r="AR548" s="76"/>
      <c r="AS548" s="76"/>
      <c r="AT548" s="76"/>
      <c r="AU548" s="76"/>
      <c r="AV548" s="76"/>
      <c r="AW548" s="79"/>
      <c r="AX548" s="79"/>
      <c r="AY548" s="79"/>
      <c r="AZ548" s="79"/>
      <c r="BA548" s="79"/>
      <c r="BB548" s="11"/>
      <c r="BC548" s="11"/>
      <c r="BD548" s="11"/>
      <c r="BE548" s="73"/>
      <c r="BF548" s="73"/>
      <c r="BG548" s="73"/>
      <c r="BH548" s="77"/>
      <c r="BI548" s="77"/>
      <c r="BJ548" s="77"/>
      <c r="BK548" s="77"/>
      <c r="BL548" s="77"/>
      <c r="BM548" s="77"/>
      <c r="BN548" s="158"/>
      <c r="BO548" s="158"/>
    </row>
    <row r="549" spans="1:67" ht="15" x14ac:dyDescent="0.25">
      <c r="A549" s="71"/>
      <c r="B549" s="11"/>
      <c r="C549" s="11"/>
      <c r="D549" s="11"/>
      <c r="E549" s="11"/>
      <c r="F549" s="11"/>
      <c r="G549" s="11"/>
      <c r="H549" s="11"/>
      <c r="I549" s="11"/>
      <c r="J549" s="249"/>
      <c r="K549" s="72"/>
      <c r="L549" s="73"/>
      <c r="M549" s="73"/>
      <c r="N549" s="74"/>
      <c r="O549" s="75"/>
      <c r="P549" s="73"/>
      <c r="Q549" s="76"/>
      <c r="R549" s="76"/>
      <c r="S549" s="76"/>
      <c r="T549" s="76"/>
      <c r="U549" s="76"/>
      <c r="V549" s="76"/>
      <c r="W549" s="76"/>
      <c r="X549" s="76"/>
      <c r="Y549" s="76"/>
      <c r="Z549" s="77"/>
      <c r="AA549" s="77"/>
      <c r="AB549" s="77"/>
      <c r="AC549" s="77"/>
      <c r="AD549" s="77"/>
      <c r="AE549" s="77"/>
      <c r="AF549" s="77"/>
      <c r="AG549" s="77"/>
      <c r="AH549" s="78"/>
      <c r="AI549" s="78"/>
      <c r="AJ549" s="78"/>
      <c r="AK549" s="78"/>
      <c r="AL549" s="78"/>
      <c r="AM549" s="78"/>
      <c r="AN549" s="76"/>
      <c r="AO549" s="76"/>
      <c r="AP549" s="76"/>
      <c r="AQ549" s="76"/>
      <c r="AR549" s="76"/>
      <c r="AS549" s="76"/>
      <c r="AT549" s="76"/>
      <c r="AU549" s="76"/>
      <c r="AV549" s="76"/>
      <c r="AW549" s="79"/>
      <c r="AX549" s="79"/>
      <c r="AY549" s="79"/>
      <c r="AZ549" s="79"/>
      <c r="BA549" s="79"/>
      <c r="BB549" s="11"/>
      <c r="BC549" s="11"/>
      <c r="BD549" s="11"/>
      <c r="BE549" s="73"/>
      <c r="BF549" s="73"/>
      <c r="BG549" s="73"/>
      <c r="BH549" s="77"/>
      <c r="BI549" s="77"/>
      <c r="BJ549" s="77"/>
      <c r="BK549" s="77"/>
      <c r="BL549" s="77"/>
      <c r="BM549" s="77"/>
      <c r="BN549" s="158"/>
      <c r="BO549" s="158"/>
    </row>
    <row r="550" spans="1:67" ht="15" x14ac:dyDescent="0.25">
      <c r="A550" s="71"/>
      <c r="B550" s="11"/>
      <c r="C550" s="11"/>
      <c r="D550" s="11"/>
      <c r="E550" s="11"/>
      <c r="F550" s="11"/>
      <c r="G550" s="11"/>
      <c r="H550" s="11"/>
      <c r="I550" s="11"/>
      <c r="J550" s="249"/>
      <c r="K550" s="72"/>
      <c r="L550" s="73"/>
      <c r="M550" s="73"/>
      <c r="N550" s="74"/>
      <c r="O550" s="75"/>
      <c r="P550" s="73"/>
      <c r="Q550" s="76"/>
      <c r="R550" s="76"/>
      <c r="S550" s="76"/>
      <c r="T550" s="76"/>
      <c r="U550" s="76"/>
      <c r="V550" s="76"/>
      <c r="W550" s="76"/>
      <c r="X550" s="76"/>
      <c r="Y550" s="76"/>
      <c r="Z550" s="77"/>
      <c r="AA550" s="77"/>
      <c r="AB550" s="77"/>
      <c r="AC550" s="77"/>
      <c r="AD550" s="77"/>
      <c r="AE550" s="77"/>
      <c r="AF550" s="77"/>
      <c r="AG550" s="77"/>
      <c r="AH550" s="78"/>
      <c r="AI550" s="78"/>
      <c r="AJ550" s="78"/>
      <c r="AK550" s="78"/>
      <c r="AL550" s="78"/>
      <c r="AM550" s="78"/>
      <c r="AN550" s="76"/>
      <c r="AO550" s="76"/>
      <c r="AP550" s="76"/>
      <c r="AQ550" s="76"/>
      <c r="AR550" s="76"/>
      <c r="AS550" s="76"/>
      <c r="AT550" s="76"/>
      <c r="AU550" s="76"/>
      <c r="AV550" s="76"/>
      <c r="AW550" s="79"/>
      <c r="AX550" s="79"/>
      <c r="AY550" s="79"/>
      <c r="AZ550" s="79"/>
      <c r="BA550" s="79"/>
      <c r="BB550" s="11"/>
      <c r="BC550" s="11"/>
      <c r="BD550" s="11"/>
      <c r="BE550" s="73"/>
      <c r="BF550" s="73"/>
      <c r="BG550" s="73"/>
      <c r="BH550" s="77"/>
      <c r="BI550" s="77"/>
      <c r="BJ550" s="77"/>
      <c r="BK550" s="77"/>
      <c r="BL550" s="77"/>
      <c r="BM550" s="77"/>
      <c r="BN550" s="158"/>
      <c r="BO550" s="158"/>
    </row>
    <row r="551" spans="1:67" ht="15" x14ac:dyDescent="0.25">
      <c r="A551" s="71"/>
      <c r="B551" s="11"/>
      <c r="C551" s="11"/>
      <c r="D551" s="11"/>
      <c r="E551" s="11"/>
      <c r="F551" s="11"/>
      <c r="G551" s="11"/>
      <c r="H551" s="11"/>
      <c r="I551" s="11"/>
      <c r="J551" s="249"/>
      <c r="K551" s="72"/>
      <c r="L551" s="73"/>
      <c r="M551" s="73"/>
      <c r="N551" s="74"/>
      <c r="O551" s="75"/>
      <c r="P551" s="73"/>
      <c r="Q551" s="76"/>
      <c r="R551" s="76"/>
      <c r="S551" s="76"/>
      <c r="T551" s="76"/>
      <c r="U551" s="76"/>
      <c r="V551" s="76"/>
      <c r="W551" s="76"/>
      <c r="X551" s="76"/>
      <c r="Y551" s="76"/>
      <c r="Z551" s="77"/>
      <c r="AA551" s="77"/>
      <c r="AB551" s="77"/>
      <c r="AC551" s="77"/>
      <c r="AD551" s="77"/>
      <c r="AE551" s="77"/>
      <c r="AF551" s="77"/>
      <c r="AG551" s="77"/>
      <c r="AH551" s="78"/>
      <c r="AI551" s="78"/>
      <c r="AJ551" s="78"/>
      <c r="AK551" s="78"/>
      <c r="AL551" s="78"/>
      <c r="AM551" s="78"/>
      <c r="AN551" s="76"/>
      <c r="AO551" s="76"/>
      <c r="AP551" s="76"/>
      <c r="AQ551" s="76"/>
      <c r="AR551" s="76"/>
      <c r="AS551" s="76"/>
      <c r="AT551" s="76"/>
      <c r="AU551" s="76"/>
      <c r="AV551" s="76"/>
      <c r="AW551" s="79"/>
      <c r="AX551" s="79"/>
      <c r="AY551" s="79"/>
      <c r="AZ551" s="79"/>
      <c r="BA551" s="79"/>
      <c r="BB551" s="11"/>
      <c r="BC551" s="11"/>
      <c r="BD551" s="11"/>
      <c r="BE551" s="73"/>
      <c r="BF551" s="73"/>
      <c r="BG551" s="73"/>
      <c r="BH551" s="77"/>
      <c r="BI551" s="77"/>
      <c r="BJ551" s="77"/>
      <c r="BK551" s="77"/>
      <c r="BL551" s="77"/>
      <c r="BM551" s="77"/>
      <c r="BN551" s="158"/>
      <c r="BO551" s="158"/>
    </row>
    <row r="552" spans="1:67" ht="15" x14ac:dyDescent="0.25">
      <c r="A552" s="71"/>
      <c r="B552" s="11"/>
      <c r="C552" s="11"/>
      <c r="D552" s="11"/>
      <c r="E552" s="11"/>
      <c r="F552" s="11"/>
      <c r="G552" s="11"/>
      <c r="H552" s="11"/>
      <c r="I552" s="11"/>
      <c r="J552" s="249"/>
      <c r="K552" s="72"/>
      <c r="L552" s="73"/>
      <c r="M552" s="73"/>
      <c r="N552" s="74"/>
      <c r="O552" s="75"/>
      <c r="P552" s="73"/>
      <c r="Q552" s="76"/>
      <c r="R552" s="76"/>
      <c r="S552" s="76"/>
      <c r="T552" s="76"/>
      <c r="U552" s="76"/>
      <c r="V552" s="76"/>
      <c r="W552" s="76"/>
      <c r="X552" s="76"/>
      <c r="Y552" s="76"/>
      <c r="Z552" s="77"/>
      <c r="AA552" s="77"/>
      <c r="AB552" s="77"/>
      <c r="AC552" s="77"/>
      <c r="AD552" s="77"/>
      <c r="AE552" s="77"/>
      <c r="AF552" s="77"/>
      <c r="AG552" s="77"/>
      <c r="AH552" s="78"/>
      <c r="AI552" s="78"/>
      <c r="AJ552" s="78"/>
      <c r="AK552" s="78"/>
      <c r="AL552" s="78"/>
      <c r="AM552" s="78"/>
      <c r="AN552" s="76"/>
      <c r="AO552" s="76"/>
      <c r="AP552" s="76"/>
      <c r="AQ552" s="76"/>
      <c r="AR552" s="76"/>
      <c r="AS552" s="76"/>
      <c r="AT552" s="76"/>
      <c r="AU552" s="76"/>
      <c r="AV552" s="76"/>
      <c r="AW552" s="79"/>
      <c r="AX552" s="79"/>
      <c r="AY552" s="79"/>
      <c r="AZ552" s="79"/>
      <c r="BA552" s="79"/>
      <c r="BB552" s="11"/>
      <c r="BC552" s="11"/>
      <c r="BD552" s="11"/>
      <c r="BE552" s="73"/>
      <c r="BF552" s="73"/>
      <c r="BG552" s="73"/>
      <c r="BH552" s="77"/>
      <c r="BI552" s="77"/>
      <c r="BJ552" s="77"/>
      <c r="BK552" s="77"/>
      <c r="BL552" s="77"/>
      <c r="BM552" s="77"/>
      <c r="BN552" s="158"/>
      <c r="BO552" s="158"/>
    </row>
    <row r="553" spans="1:67" ht="15" x14ac:dyDescent="0.25">
      <c r="A553" s="71"/>
      <c r="B553" s="11"/>
      <c r="C553" s="11"/>
      <c r="D553" s="11"/>
      <c r="E553" s="11"/>
      <c r="F553" s="11"/>
      <c r="G553" s="11"/>
      <c r="H553" s="11"/>
      <c r="I553" s="11"/>
      <c r="J553" s="249"/>
      <c r="K553" s="72"/>
      <c r="L553" s="73"/>
      <c r="M553" s="73"/>
      <c r="N553" s="74"/>
      <c r="O553" s="75"/>
      <c r="P553" s="73"/>
      <c r="Q553" s="76"/>
      <c r="R553" s="76"/>
      <c r="S553" s="76"/>
      <c r="T553" s="76"/>
      <c r="U553" s="76"/>
      <c r="V553" s="76"/>
      <c r="W553" s="76"/>
      <c r="X553" s="76"/>
      <c r="Y553" s="76"/>
      <c r="Z553" s="77"/>
      <c r="AA553" s="77"/>
      <c r="AB553" s="77"/>
      <c r="AC553" s="77"/>
      <c r="AD553" s="77"/>
      <c r="AE553" s="77"/>
      <c r="AF553" s="77"/>
      <c r="AG553" s="77"/>
      <c r="AH553" s="78"/>
      <c r="AI553" s="78"/>
      <c r="AJ553" s="78"/>
      <c r="AK553" s="78"/>
      <c r="AL553" s="78"/>
      <c r="AM553" s="78"/>
      <c r="AN553" s="76"/>
      <c r="AO553" s="76"/>
      <c r="AP553" s="76"/>
      <c r="AQ553" s="76"/>
      <c r="AR553" s="76"/>
      <c r="AS553" s="76"/>
      <c r="AT553" s="76"/>
      <c r="AU553" s="76"/>
      <c r="AV553" s="76"/>
      <c r="AW553" s="79"/>
      <c r="AX553" s="79"/>
      <c r="AY553" s="79"/>
      <c r="AZ553" s="79"/>
      <c r="BA553" s="79"/>
      <c r="BB553" s="11"/>
      <c r="BC553" s="11"/>
      <c r="BD553" s="11"/>
      <c r="BE553" s="73"/>
      <c r="BF553" s="73"/>
      <c r="BG553" s="73"/>
      <c r="BH553" s="77"/>
      <c r="BI553" s="77"/>
      <c r="BJ553" s="77"/>
      <c r="BK553" s="77"/>
      <c r="BL553" s="77"/>
      <c r="BM553" s="77"/>
      <c r="BN553" s="158"/>
      <c r="BO553" s="158"/>
    </row>
    <row r="554" spans="1:67" ht="15" x14ac:dyDescent="0.25">
      <c r="A554" s="71"/>
      <c r="B554" s="11"/>
      <c r="C554" s="11"/>
      <c r="D554" s="11"/>
      <c r="E554" s="11"/>
      <c r="F554" s="11"/>
      <c r="G554" s="11"/>
      <c r="H554" s="11"/>
      <c r="I554" s="11"/>
      <c r="J554" s="249"/>
      <c r="K554" s="72"/>
      <c r="L554" s="73"/>
      <c r="M554" s="73"/>
      <c r="N554" s="74"/>
      <c r="O554" s="75"/>
      <c r="P554" s="73"/>
      <c r="Q554" s="76"/>
      <c r="R554" s="76"/>
      <c r="S554" s="76"/>
      <c r="T554" s="76"/>
      <c r="U554" s="76"/>
      <c r="V554" s="76"/>
      <c r="W554" s="76"/>
      <c r="X554" s="76"/>
      <c r="Y554" s="76"/>
      <c r="Z554" s="77"/>
      <c r="AA554" s="77"/>
      <c r="AB554" s="77"/>
      <c r="AC554" s="77"/>
      <c r="AD554" s="77"/>
      <c r="AE554" s="77"/>
      <c r="AF554" s="77"/>
      <c r="AG554" s="77"/>
      <c r="AH554" s="78"/>
      <c r="AI554" s="78"/>
      <c r="AJ554" s="78"/>
      <c r="AK554" s="78"/>
      <c r="AL554" s="78"/>
      <c r="AM554" s="78"/>
      <c r="AN554" s="76"/>
      <c r="AO554" s="76"/>
      <c r="AP554" s="76"/>
      <c r="AQ554" s="76"/>
      <c r="AR554" s="76"/>
      <c r="AS554" s="76"/>
      <c r="AT554" s="76"/>
      <c r="AU554" s="76"/>
      <c r="AV554" s="76"/>
      <c r="AW554" s="79"/>
      <c r="AX554" s="79"/>
      <c r="AY554" s="79"/>
      <c r="AZ554" s="79"/>
      <c r="BA554" s="79"/>
      <c r="BB554" s="11"/>
      <c r="BC554" s="11"/>
      <c r="BD554" s="11"/>
      <c r="BE554" s="73"/>
      <c r="BF554" s="73"/>
      <c r="BG554" s="73"/>
      <c r="BH554" s="77"/>
      <c r="BI554" s="77"/>
      <c r="BJ554" s="77"/>
      <c r="BK554" s="77"/>
      <c r="BL554" s="77"/>
      <c r="BM554" s="77"/>
      <c r="BN554" s="158"/>
      <c r="BO554" s="158"/>
    </row>
    <row r="555" spans="1:67" ht="15" x14ac:dyDescent="0.25">
      <c r="A555" s="71"/>
      <c r="B555" s="11"/>
      <c r="C555" s="11"/>
      <c r="D555" s="11"/>
      <c r="E555" s="11"/>
      <c r="F555" s="11"/>
      <c r="G555" s="11"/>
      <c r="H555" s="11"/>
      <c r="I555" s="11"/>
      <c r="J555" s="249"/>
      <c r="K555" s="72"/>
      <c r="L555" s="73"/>
      <c r="M555" s="73"/>
      <c r="N555" s="74"/>
      <c r="O555" s="75"/>
      <c r="P555" s="73"/>
      <c r="Q555" s="76"/>
      <c r="R555" s="76"/>
      <c r="S555" s="76"/>
      <c r="T555" s="76"/>
      <c r="U555" s="76"/>
      <c r="V555" s="76"/>
      <c r="W555" s="76"/>
      <c r="X555" s="76"/>
      <c r="Y555" s="76"/>
      <c r="Z555" s="77"/>
      <c r="AA555" s="77"/>
      <c r="AB555" s="77"/>
      <c r="AC555" s="77"/>
      <c r="AD555" s="77"/>
      <c r="AE555" s="77"/>
      <c r="AF555" s="77"/>
      <c r="AG555" s="77"/>
      <c r="AH555" s="78"/>
      <c r="AI555" s="78"/>
      <c r="AJ555" s="78"/>
      <c r="AK555" s="78"/>
      <c r="AL555" s="78"/>
      <c r="AM555" s="78"/>
      <c r="AN555" s="76"/>
      <c r="AO555" s="76"/>
      <c r="AP555" s="76"/>
      <c r="AQ555" s="76"/>
      <c r="AR555" s="76"/>
      <c r="AS555" s="76"/>
      <c r="AT555" s="76"/>
      <c r="AU555" s="76"/>
      <c r="AV555" s="76"/>
      <c r="AW555" s="79"/>
      <c r="AX555" s="79"/>
      <c r="AY555" s="79"/>
      <c r="AZ555" s="79"/>
      <c r="BA555" s="79"/>
      <c r="BB555" s="11"/>
      <c r="BC555" s="11"/>
      <c r="BD555" s="11"/>
      <c r="BE555" s="73"/>
      <c r="BF555" s="73"/>
      <c r="BG555" s="73"/>
      <c r="BH555" s="77"/>
      <c r="BI555" s="77"/>
      <c r="BJ555" s="77"/>
      <c r="BK555" s="77"/>
      <c r="BL555" s="77"/>
      <c r="BM555" s="77"/>
      <c r="BN555" s="158"/>
      <c r="BO555" s="158"/>
    </row>
    <row r="556" spans="1:67" ht="15" x14ac:dyDescent="0.25">
      <c r="A556" s="71"/>
      <c r="B556" s="11"/>
      <c r="C556" s="11"/>
      <c r="D556" s="11"/>
      <c r="E556" s="11"/>
      <c r="F556" s="11"/>
      <c r="G556" s="11"/>
      <c r="H556" s="11"/>
      <c r="I556" s="11"/>
      <c r="J556" s="249"/>
      <c r="K556" s="72"/>
      <c r="L556" s="73"/>
      <c r="M556" s="73"/>
      <c r="N556" s="74"/>
      <c r="O556" s="75"/>
      <c r="P556" s="73"/>
      <c r="Q556" s="76"/>
      <c r="R556" s="76"/>
      <c r="S556" s="76"/>
      <c r="T556" s="76"/>
      <c r="U556" s="76"/>
      <c r="V556" s="76"/>
      <c r="W556" s="76"/>
      <c r="X556" s="76"/>
      <c r="Y556" s="76"/>
      <c r="Z556" s="77"/>
      <c r="AA556" s="77"/>
      <c r="AB556" s="77"/>
      <c r="AC556" s="77"/>
      <c r="AD556" s="77"/>
      <c r="AE556" s="77"/>
      <c r="AF556" s="77"/>
      <c r="AG556" s="77"/>
      <c r="AH556" s="78"/>
      <c r="AI556" s="78"/>
      <c r="AJ556" s="78"/>
      <c r="AK556" s="78"/>
      <c r="AL556" s="78"/>
      <c r="AM556" s="78"/>
      <c r="AN556" s="76"/>
      <c r="AO556" s="76"/>
      <c r="AP556" s="76"/>
      <c r="AQ556" s="76"/>
      <c r="AR556" s="76"/>
      <c r="AS556" s="76"/>
      <c r="AT556" s="76"/>
      <c r="AU556" s="76"/>
      <c r="AV556" s="76"/>
      <c r="AW556" s="79"/>
      <c r="AX556" s="79"/>
      <c r="AY556" s="79"/>
      <c r="AZ556" s="79"/>
      <c r="BA556" s="79"/>
      <c r="BB556" s="11"/>
      <c r="BC556" s="11"/>
      <c r="BD556" s="11"/>
      <c r="BE556" s="73"/>
      <c r="BF556" s="73"/>
      <c r="BG556" s="73"/>
      <c r="BH556" s="77"/>
      <c r="BI556" s="77"/>
      <c r="BJ556" s="77"/>
      <c r="BK556" s="77"/>
      <c r="BL556" s="77"/>
      <c r="BM556" s="77"/>
      <c r="BN556" s="158"/>
      <c r="BO556" s="158"/>
    </row>
    <row r="557" spans="1:67" ht="15" x14ac:dyDescent="0.25">
      <c r="A557" s="71"/>
      <c r="B557" s="11"/>
      <c r="C557" s="11"/>
      <c r="D557" s="11"/>
      <c r="E557" s="11"/>
      <c r="F557" s="11"/>
      <c r="G557" s="11"/>
      <c r="H557" s="11"/>
      <c r="I557" s="11"/>
      <c r="J557" s="249"/>
      <c r="K557" s="72"/>
      <c r="L557" s="73"/>
      <c r="M557" s="73"/>
      <c r="N557" s="74"/>
      <c r="O557" s="75"/>
      <c r="P557" s="73"/>
      <c r="Q557" s="76"/>
      <c r="R557" s="76"/>
      <c r="S557" s="76"/>
      <c r="T557" s="76"/>
      <c r="U557" s="76"/>
      <c r="V557" s="76"/>
      <c r="W557" s="76"/>
      <c r="X557" s="76"/>
      <c r="Y557" s="76"/>
      <c r="Z557" s="77"/>
      <c r="AA557" s="77"/>
      <c r="AB557" s="77"/>
      <c r="AC557" s="77"/>
      <c r="AD557" s="77"/>
      <c r="AE557" s="77"/>
      <c r="AF557" s="77"/>
      <c r="AG557" s="77"/>
      <c r="AH557" s="78"/>
      <c r="AI557" s="78"/>
      <c r="AJ557" s="78"/>
      <c r="AK557" s="78"/>
      <c r="AL557" s="78"/>
      <c r="AM557" s="78"/>
      <c r="AN557" s="76"/>
      <c r="AO557" s="76"/>
      <c r="AP557" s="76"/>
      <c r="AQ557" s="76"/>
      <c r="AR557" s="76"/>
      <c r="AS557" s="76"/>
      <c r="AT557" s="76"/>
      <c r="AU557" s="76"/>
      <c r="AV557" s="76"/>
      <c r="AW557" s="79"/>
      <c r="AX557" s="79"/>
      <c r="AY557" s="79"/>
      <c r="AZ557" s="79"/>
      <c r="BA557" s="79"/>
      <c r="BB557" s="11"/>
      <c r="BC557" s="11"/>
      <c r="BD557" s="11"/>
      <c r="BE557" s="73"/>
      <c r="BF557" s="73"/>
      <c r="BG557" s="73"/>
      <c r="BH557" s="77"/>
      <c r="BI557" s="77"/>
      <c r="BJ557" s="77"/>
      <c r="BK557" s="77"/>
      <c r="BL557" s="77"/>
      <c r="BM557" s="77"/>
      <c r="BN557" s="158"/>
      <c r="BO557" s="158"/>
    </row>
    <row r="558" spans="1:67" ht="15" x14ac:dyDescent="0.25">
      <c r="A558" s="71"/>
      <c r="B558" s="11"/>
      <c r="C558" s="11"/>
      <c r="D558" s="11"/>
      <c r="E558" s="11"/>
      <c r="F558" s="11"/>
      <c r="G558" s="11"/>
      <c r="H558" s="11"/>
      <c r="I558" s="11"/>
      <c r="J558" s="249"/>
      <c r="K558" s="72"/>
      <c r="L558" s="73"/>
      <c r="M558" s="73"/>
      <c r="N558" s="74"/>
      <c r="O558" s="75"/>
      <c r="P558" s="73"/>
      <c r="Q558" s="76"/>
      <c r="R558" s="76"/>
      <c r="S558" s="76"/>
      <c r="T558" s="76"/>
      <c r="U558" s="76"/>
      <c r="V558" s="76"/>
      <c r="W558" s="76"/>
      <c r="X558" s="76"/>
      <c r="Y558" s="76"/>
      <c r="Z558" s="77"/>
      <c r="AA558" s="77"/>
      <c r="AB558" s="77"/>
      <c r="AC558" s="77"/>
      <c r="AD558" s="77"/>
      <c r="AE558" s="77"/>
      <c r="AF558" s="77"/>
      <c r="AG558" s="77"/>
      <c r="AH558" s="78"/>
      <c r="AI558" s="78"/>
      <c r="AJ558" s="78"/>
      <c r="AK558" s="78"/>
      <c r="AL558" s="78"/>
      <c r="AM558" s="78"/>
      <c r="AN558" s="76"/>
      <c r="AO558" s="76"/>
      <c r="AP558" s="76"/>
      <c r="AQ558" s="76"/>
      <c r="AR558" s="76"/>
      <c r="AS558" s="76"/>
      <c r="AT558" s="76"/>
      <c r="AU558" s="76"/>
      <c r="AV558" s="76"/>
      <c r="AW558" s="79"/>
      <c r="AX558" s="79"/>
      <c r="AY558" s="79"/>
      <c r="AZ558" s="79"/>
      <c r="BA558" s="79"/>
      <c r="BB558" s="11"/>
      <c r="BC558" s="11"/>
      <c r="BD558" s="11"/>
      <c r="BE558" s="73"/>
      <c r="BF558" s="73"/>
      <c r="BG558" s="73"/>
      <c r="BH558" s="77"/>
      <c r="BI558" s="77"/>
      <c r="BJ558" s="77"/>
      <c r="BK558" s="77"/>
      <c r="BL558" s="77"/>
      <c r="BM558" s="77"/>
      <c r="BN558" s="158"/>
      <c r="BO558" s="158"/>
    </row>
    <row r="559" spans="1:67" ht="15" x14ac:dyDescent="0.25">
      <c r="A559" s="71"/>
      <c r="B559" s="11"/>
      <c r="C559" s="11"/>
      <c r="D559" s="11"/>
      <c r="E559" s="11"/>
      <c r="F559" s="11"/>
      <c r="G559" s="11"/>
      <c r="H559" s="11"/>
      <c r="I559" s="11"/>
      <c r="J559" s="249"/>
      <c r="K559" s="72"/>
      <c r="L559" s="73"/>
      <c r="M559" s="73"/>
      <c r="N559" s="74"/>
      <c r="O559" s="75"/>
      <c r="P559" s="73"/>
      <c r="Q559" s="76"/>
      <c r="R559" s="76"/>
      <c r="S559" s="76"/>
      <c r="T559" s="76"/>
      <c r="U559" s="76"/>
      <c r="V559" s="76"/>
      <c r="W559" s="76"/>
      <c r="X559" s="76"/>
      <c r="Y559" s="76"/>
      <c r="Z559" s="77"/>
      <c r="AA559" s="77"/>
      <c r="AB559" s="77"/>
      <c r="AC559" s="77"/>
      <c r="AD559" s="77"/>
      <c r="AE559" s="77"/>
      <c r="AF559" s="77"/>
      <c r="AG559" s="77"/>
      <c r="AH559" s="78"/>
      <c r="AI559" s="78"/>
      <c r="AJ559" s="78"/>
      <c r="AK559" s="78"/>
      <c r="AL559" s="78"/>
      <c r="AM559" s="78"/>
      <c r="AN559" s="76"/>
      <c r="AO559" s="76"/>
      <c r="AP559" s="76"/>
      <c r="AQ559" s="76"/>
      <c r="AR559" s="76"/>
      <c r="AS559" s="76"/>
      <c r="AT559" s="76"/>
      <c r="AU559" s="76"/>
      <c r="AV559" s="76"/>
      <c r="AW559" s="79"/>
      <c r="AX559" s="79"/>
      <c r="AY559" s="79"/>
      <c r="AZ559" s="79"/>
      <c r="BA559" s="79"/>
      <c r="BB559" s="11"/>
      <c r="BC559" s="11"/>
      <c r="BD559" s="11"/>
      <c r="BE559" s="73"/>
      <c r="BF559" s="73"/>
      <c r="BG559" s="73"/>
      <c r="BH559" s="77"/>
      <c r="BI559" s="77"/>
      <c r="BJ559" s="77"/>
      <c r="BK559" s="77"/>
      <c r="BL559" s="77"/>
      <c r="BM559" s="77"/>
      <c r="BN559" s="158"/>
      <c r="BO559" s="158"/>
    </row>
    <row r="560" spans="1:67" ht="15" x14ac:dyDescent="0.25">
      <c r="A560" s="71"/>
      <c r="B560" s="11"/>
      <c r="C560" s="11"/>
      <c r="D560" s="11"/>
      <c r="E560" s="11"/>
      <c r="F560" s="11"/>
      <c r="G560" s="11"/>
      <c r="H560" s="11"/>
      <c r="I560" s="11"/>
      <c r="J560" s="249"/>
      <c r="K560" s="72"/>
      <c r="L560" s="73"/>
      <c r="M560" s="73"/>
      <c r="N560" s="74"/>
      <c r="O560" s="75"/>
      <c r="P560" s="73"/>
      <c r="Q560" s="76"/>
      <c r="R560" s="76"/>
      <c r="S560" s="76"/>
      <c r="T560" s="76"/>
      <c r="U560" s="76"/>
      <c r="V560" s="76"/>
      <c r="W560" s="76"/>
      <c r="X560" s="76"/>
      <c r="Y560" s="76"/>
      <c r="Z560" s="77"/>
      <c r="AA560" s="77"/>
      <c r="AB560" s="77"/>
      <c r="AC560" s="77"/>
      <c r="AD560" s="77"/>
      <c r="AE560" s="77"/>
      <c r="AF560" s="77"/>
      <c r="AG560" s="77"/>
      <c r="AH560" s="78"/>
      <c r="AI560" s="78"/>
      <c r="AJ560" s="78"/>
      <c r="AK560" s="78"/>
      <c r="AL560" s="78"/>
      <c r="AM560" s="78"/>
      <c r="AN560" s="76"/>
      <c r="AO560" s="76"/>
      <c r="AP560" s="76"/>
      <c r="AQ560" s="76"/>
      <c r="AR560" s="76"/>
      <c r="AS560" s="76"/>
      <c r="AT560" s="76"/>
      <c r="AU560" s="76"/>
      <c r="AV560" s="76"/>
      <c r="AW560" s="79"/>
      <c r="AX560" s="79"/>
      <c r="AY560" s="79"/>
      <c r="AZ560" s="79"/>
      <c r="BA560" s="79"/>
      <c r="BB560" s="11"/>
      <c r="BC560" s="11"/>
      <c r="BD560" s="11"/>
      <c r="BE560" s="73"/>
      <c r="BF560" s="73"/>
      <c r="BG560" s="73"/>
      <c r="BH560" s="77"/>
      <c r="BI560" s="77"/>
      <c r="BJ560" s="77"/>
      <c r="BK560" s="77"/>
      <c r="BL560" s="77"/>
      <c r="BM560" s="77"/>
      <c r="BN560" s="158"/>
      <c r="BO560" s="158"/>
    </row>
    <row r="561" spans="1:67" ht="15" x14ac:dyDescent="0.25">
      <c r="A561" s="71"/>
      <c r="B561" s="11"/>
      <c r="C561" s="11"/>
      <c r="D561" s="11"/>
      <c r="E561" s="11"/>
      <c r="F561" s="11"/>
      <c r="G561" s="11"/>
      <c r="H561" s="11"/>
      <c r="I561" s="11"/>
      <c r="J561" s="249"/>
      <c r="K561" s="72"/>
      <c r="L561" s="73"/>
      <c r="M561" s="73"/>
      <c r="N561" s="74"/>
      <c r="O561" s="75"/>
      <c r="P561" s="73"/>
      <c r="Q561" s="76"/>
      <c r="R561" s="76"/>
      <c r="S561" s="76"/>
      <c r="T561" s="76"/>
      <c r="U561" s="76"/>
      <c r="V561" s="76"/>
      <c r="W561" s="76"/>
      <c r="X561" s="76"/>
      <c r="Y561" s="76"/>
      <c r="Z561" s="77"/>
      <c r="AA561" s="77"/>
      <c r="AB561" s="77"/>
      <c r="AC561" s="77"/>
      <c r="AD561" s="77"/>
      <c r="AE561" s="77"/>
      <c r="AF561" s="77"/>
      <c r="AG561" s="77"/>
      <c r="AH561" s="78"/>
      <c r="AI561" s="78"/>
      <c r="AJ561" s="78"/>
      <c r="AK561" s="78"/>
      <c r="AL561" s="78"/>
      <c r="AM561" s="78"/>
      <c r="AN561" s="76"/>
      <c r="AO561" s="76"/>
      <c r="AP561" s="76"/>
      <c r="AQ561" s="76"/>
      <c r="AR561" s="76"/>
      <c r="AS561" s="76"/>
      <c r="AT561" s="76"/>
      <c r="AU561" s="76"/>
      <c r="AV561" s="76"/>
      <c r="AW561" s="79"/>
      <c r="AX561" s="79"/>
      <c r="AY561" s="79"/>
      <c r="AZ561" s="79"/>
      <c r="BA561" s="79"/>
      <c r="BB561" s="11"/>
      <c r="BC561" s="11"/>
      <c r="BD561" s="11"/>
      <c r="BE561" s="73"/>
      <c r="BF561" s="73"/>
      <c r="BG561" s="73"/>
      <c r="BH561" s="77"/>
      <c r="BI561" s="77"/>
      <c r="BJ561" s="77"/>
      <c r="BK561" s="77"/>
      <c r="BL561" s="77"/>
      <c r="BM561" s="77"/>
      <c r="BN561" s="158"/>
      <c r="BO561" s="158"/>
    </row>
    <row r="562" spans="1:67" ht="15" x14ac:dyDescent="0.25">
      <c r="A562" s="71"/>
      <c r="B562" s="11"/>
      <c r="C562" s="11"/>
      <c r="D562" s="11"/>
      <c r="E562" s="11"/>
      <c r="F562" s="11"/>
      <c r="G562" s="11"/>
      <c r="H562" s="11"/>
      <c r="I562" s="11"/>
      <c r="J562" s="249"/>
      <c r="K562" s="72"/>
      <c r="L562" s="73"/>
      <c r="M562" s="73"/>
      <c r="N562" s="74"/>
      <c r="O562" s="75"/>
      <c r="P562" s="73"/>
      <c r="Q562" s="76"/>
      <c r="R562" s="76"/>
      <c r="S562" s="76"/>
      <c r="T562" s="76"/>
      <c r="U562" s="76"/>
      <c r="V562" s="76"/>
      <c r="W562" s="76"/>
      <c r="X562" s="76"/>
      <c r="Y562" s="76"/>
      <c r="Z562" s="77"/>
      <c r="AA562" s="77"/>
      <c r="AB562" s="77"/>
      <c r="AC562" s="77"/>
      <c r="AD562" s="77"/>
      <c r="AE562" s="77"/>
      <c r="AF562" s="77"/>
      <c r="AG562" s="77"/>
      <c r="AH562" s="78"/>
      <c r="AI562" s="78"/>
      <c r="AJ562" s="78"/>
      <c r="AK562" s="78"/>
      <c r="AL562" s="78"/>
      <c r="AM562" s="78"/>
      <c r="AN562" s="76"/>
      <c r="AO562" s="76"/>
      <c r="AP562" s="76"/>
      <c r="AQ562" s="76"/>
      <c r="AR562" s="76"/>
      <c r="AS562" s="76"/>
      <c r="AT562" s="76"/>
      <c r="AU562" s="76"/>
      <c r="AV562" s="76"/>
      <c r="AW562" s="79"/>
      <c r="AX562" s="79"/>
      <c r="AY562" s="79"/>
      <c r="AZ562" s="79"/>
      <c r="BA562" s="79"/>
      <c r="BB562" s="11"/>
      <c r="BC562" s="11"/>
      <c r="BD562" s="11"/>
      <c r="BE562" s="73"/>
      <c r="BF562" s="73"/>
      <c r="BG562" s="73"/>
      <c r="BH562" s="77"/>
      <c r="BI562" s="77"/>
      <c r="BJ562" s="77"/>
      <c r="BK562" s="77"/>
      <c r="BL562" s="77"/>
      <c r="BM562" s="77"/>
      <c r="BN562" s="158"/>
      <c r="BO562" s="158"/>
    </row>
    <row r="563" spans="1:67" ht="15" x14ac:dyDescent="0.25">
      <c r="A563" s="71"/>
      <c r="B563" s="11"/>
      <c r="C563" s="11"/>
      <c r="D563" s="11"/>
      <c r="E563" s="11"/>
      <c r="F563" s="11"/>
      <c r="G563" s="11"/>
      <c r="H563" s="11"/>
      <c r="I563" s="11"/>
      <c r="J563" s="249"/>
      <c r="K563" s="72"/>
      <c r="L563" s="73"/>
      <c r="M563" s="73"/>
      <c r="N563" s="74"/>
      <c r="O563" s="75"/>
      <c r="P563" s="73"/>
      <c r="Q563" s="76"/>
      <c r="R563" s="76"/>
      <c r="S563" s="76"/>
      <c r="T563" s="76"/>
      <c r="U563" s="76"/>
      <c r="V563" s="76"/>
      <c r="W563" s="76"/>
      <c r="X563" s="76"/>
      <c r="Y563" s="76"/>
      <c r="Z563" s="77"/>
      <c r="AA563" s="77"/>
      <c r="AB563" s="77"/>
      <c r="AC563" s="77"/>
      <c r="AD563" s="77"/>
      <c r="AE563" s="77"/>
      <c r="AF563" s="77"/>
      <c r="AG563" s="77"/>
      <c r="AH563" s="78"/>
      <c r="AI563" s="78"/>
      <c r="AJ563" s="78"/>
      <c r="AK563" s="78"/>
      <c r="AL563" s="78"/>
      <c r="AM563" s="78"/>
      <c r="AN563" s="76"/>
      <c r="AO563" s="76"/>
      <c r="AP563" s="76"/>
      <c r="AQ563" s="76"/>
      <c r="AR563" s="76"/>
      <c r="AS563" s="76"/>
      <c r="AT563" s="76"/>
      <c r="AU563" s="76"/>
      <c r="AV563" s="76"/>
      <c r="AW563" s="79"/>
      <c r="AX563" s="79"/>
      <c r="AY563" s="79"/>
      <c r="AZ563" s="79"/>
      <c r="BA563" s="79"/>
      <c r="BB563" s="11"/>
      <c r="BC563" s="11"/>
      <c r="BD563" s="11"/>
      <c r="BE563" s="73"/>
      <c r="BF563" s="73"/>
      <c r="BG563" s="73"/>
      <c r="BH563" s="77"/>
      <c r="BI563" s="77"/>
      <c r="BJ563" s="77"/>
      <c r="BK563" s="77"/>
      <c r="BL563" s="77"/>
      <c r="BM563" s="77"/>
      <c r="BN563" s="158"/>
      <c r="BO563" s="158"/>
    </row>
    <row r="564" spans="1:67" ht="15" x14ac:dyDescent="0.25">
      <c r="A564" s="71"/>
      <c r="B564" s="11"/>
      <c r="C564" s="11"/>
      <c r="D564" s="11"/>
      <c r="E564" s="11"/>
      <c r="F564" s="11"/>
      <c r="G564" s="11"/>
      <c r="H564" s="11"/>
      <c r="I564" s="11"/>
      <c r="J564" s="249"/>
      <c r="K564" s="72"/>
      <c r="L564" s="73"/>
      <c r="M564" s="73"/>
      <c r="N564" s="74"/>
      <c r="O564" s="75"/>
      <c r="P564" s="73"/>
      <c r="Q564" s="76"/>
      <c r="R564" s="76"/>
      <c r="S564" s="76"/>
      <c r="T564" s="76"/>
      <c r="U564" s="76"/>
      <c r="V564" s="76"/>
      <c r="W564" s="76"/>
      <c r="X564" s="76"/>
      <c r="Y564" s="76"/>
      <c r="Z564" s="77"/>
      <c r="AA564" s="77"/>
      <c r="AB564" s="77"/>
      <c r="AC564" s="77"/>
      <c r="AD564" s="77"/>
      <c r="AE564" s="77"/>
      <c r="AF564" s="77"/>
      <c r="AG564" s="77"/>
      <c r="AH564" s="78"/>
      <c r="AI564" s="78"/>
      <c r="AJ564" s="78"/>
      <c r="AK564" s="78"/>
      <c r="AL564" s="78"/>
      <c r="AM564" s="78"/>
      <c r="AN564" s="76"/>
      <c r="AO564" s="76"/>
      <c r="AP564" s="76"/>
      <c r="AQ564" s="76"/>
      <c r="AR564" s="76"/>
      <c r="AS564" s="76"/>
      <c r="AT564" s="76"/>
      <c r="AU564" s="76"/>
      <c r="AV564" s="76"/>
      <c r="AW564" s="79"/>
      <c r="AX564" s="79"/>
      <c r="AY564" s="79"/>
      <c r="AZ564" s="79"/>
      <c r="BA564" s="79"/>
      <c r="BB564" s="11"/>
      <c r="BC564" s="11"/>
      <c r="BD564" s="11"/>
      <c r="BE564" s="73"/>
      <c r="BF564" s="73"/>
      <c r="BG564" s="73"/>
      <c r="BH564" s="77"/>
      <c r="BI564" s="77"/>
      <c r="BJ564" s="77"/>
      <c r="BK564" s="77"/>
      <c r="BL564" s="77"/>
      <c r="BM564" s="77"/>
      <c r="BN564" s="158"/>
      <c r="BO564" s="158"/>
    </row>
    <row r="565" spans="1:67" ht="15" x14ac:dyDescent="0.25">
      <c r="A565" s="71"/>
      <c r="B565" s="11"/>
      <c r="C565" s="11"/>
      <c r="D565" s="11"/>
      <c r="E565" s="11"/>
      <c r="F565" s="11"/>
      <c r="G565" s="11"/>
      <c r="H565" s="11"/>
      <c r="I565" s="11"/>
      <c r="J565" s="249"/>
      <c r="K565" s="72"/>
      <c r="L565" s="73"/>
      <c r="M565" s="73"/>
      <c r="N565" s="74"/>
      <c r="O565" s="75"/>
      <c r="P565" s="73"/>
      <c r="Q565" s="76"/>
      <c r="R565" s="76"/>
      <c r="S565" s="76"/>
      <c r="T565" s="76"/>
      <c r="U565" s="76"/>
      <c r="V565" s="76"/>
      <c r="W565" s="76"/>
      <c r="X565" s="76"/>
      <c r="Y565" s="76"/>
      <c r="Z565" s="77"/>
      <c r="AA565" s="77"/>
      <c r="AB565" s="77"/>
      <c r="AC565" s="77"/>
      <c r="AD565" s="77"/>
      <c r="AE565" s="77"/>
      <c r="AF565" s="77"/>
      <c r="AG565" s="77"/>
      <c r="AH565" s="78"/>
      <c r="AI565" s="78"/>
      <c r="AJ565" s="78"/>
      <c r="AK565" s="78"/>
      <c r="AL565" s="78"/>
      <c r="AM565" s="78"/>
      <c r="AN565" s="76"/>
      <c r="AO565" s="76"/>
      <c r="AP565" s="76"/>
      <c r="AQ565" s="76"/>
      <c r="AR565" s="76"/>
      <c r="AS565" s="76"/>
      <c r="AT565" s="76"/>
      <c r="AU565" s="76"/>
      <c r="AV565" s="76"/>
      <c r="AW565" s="79"/>
      <c r="AX565" s="79"/>
      <c r="AY565" s="79"/>
      <c r="AZ565" s="79"/>
      <c r="BA565" s="79"/>
      <c r="BB565" s="11"/>
      <c r="BC565" s="11"/>
      <c r="BD565" s="11"/>
      <c r="BE565" s="73"/>
      <c r="BF565" s="73"/>
      <c r="BG565" s="73"/>
      <c r="BH565" s="77"/>
      <c r="BI565" s="77"/>
      <c r="BJ565" s="77"/>
      <c r="BK565" s="77"/>
      <c r="BL565" s="77"/>
      <c r="BM565" s="77"/>
      <c r="BN565" s="158"/>
      <c r="BO565" s="158"/>
    </row>
    <row r="566" spans="1:67" ht="15" x14ac:dyDescent="0.25">
      <c r="A566" s="71"/>
      <c r="B566" s="11"/>
      <c r="C566" s="11"/>
      <c r="D566" s="11"/>
      <c r="E566" s="11"/>
      <c r="F566" s="11"/>
      <c r="G566" s="11"/>
      <c r="H566" s="11"/>
      <c r="I566" s="11"/>
      <c r="J566" s="249"/>
      <c r="K566" s="72"/>
      <c r="L566" s="73"/>
      <c r="M566" s="73"/>
      <c r="N566" s="74"/>
      <c r="O566" s="75"/>
      <c r="P566" s="73"/>
      <c r="Q566" s="76"/>
      <c r="R566" s="76"/>
      <c r="S566" s="76"/>
      <c r="T566" s="76"/>
      <c r="U566" s="76"/>
      <c r="V566" s="76"/>
      <c r="W566" s="76"/>
      <c r="X566" s="76"/>
      <c r="Y566" s="76"/>
      <c r="Z566" s="77"/>
      <c r="AA566" s="77"/>
      <c r="AB566" s="77"/>
      <c r="AC566" s="77"/>
      <c r="AD566" s="77"/>
      <c r="AE566" s="77"/>
      <c r="AF566" s="77"/>
      <c r="AG566" s="77"/>
      <c r="AH566" s="78"/>
      <c r="AI566" s="78"/>
      <c r="AJ566" s="78"/>
      <c r="AK566" s="78"/>
      <c r="AL566" s="78"/>
      <c r="AM566" s="78"/>
      <c r="AN566" s="76"/>
      <c r="AO566" s="76"/>
      <c r="AP566" s="76"/>
      <c r="AQ566" s="76"/>
      <c r="AR566" s="76"/>
      <c r="AS566" s="76"/>
      <c r="AT566" s="76"/>
      <c r="AU566" s="76"/>
      <c r="AV566" s="76"/>
      <c r="AW566" s="79"/>
      <c r="AX566" s="79"/>
      <c r="AY566" s="79"/>
      <c r="AZ566" s="79"/>
      <c r="BA566" s="79"/>
      <c r="BB566" s="11"/>
      <c r="BC566" s="11"/>
      <c r="BD566" s="11"/>
      <c r="BE566" s="73"/>
      <c r="BF566" s="73"/>
      <c r="BG566" s="73"/>
      <c r="BH566" s="77"/>
      <c r="BI566" s="77"/>
      <c r="BJ566" s="77"/>
      <c r="BK566" s="77"/>
      <c r="BL566" s="77"/>
      <c r="BM566" s="77"/>
      <c r="BN566" s="158"/>
      <c r="BO566" s="158"/>
    </row>
    <row r="567" spans="1:67" ht="15" x14ac:dyDescent="0.25">
      <c r="A567" s="71"/>
      <c r="B567" s="11"/>
      <c r="C567" s="11"/>
      <c r="D567" s="11"/>
      <c r="E567" s="11"/>
      <c r="F567" s="11"/>
      <c r="G567" s="11"/>
      <c r="H567" s="11"/>
      <c r="I567" s="11"/>
      <c r="J567" s="249"/>
      <c r="K567" s="72"/>
      <c r="L567" s="73"/>
      <c r="M567" s="73"/>
      <c r="N567" s="74"/>
      <c r="O567" s="75"/>
      <c r="P567" s="73"/>
      <c r="Q567" s="76"/>
      <c r="R567" s="76"/>
      <c r="S567" s="76"/>
      <c r="T567" s="76"/>
      <c r="U567" s="76"/>
      <c r="V567" s="76"/>
      <c r="W567" s="76"/>
      <c r="X567" s="76"/>
      <c r="Y567" s="76"/>
      <c r="Z567" s="77"/>
      <c r="AA567" s="77"/>
      <c r="AB567" s="77"/>
      <c r="AC567" s="77"/>
      <c r="AD567" s="77"/>
      <c r="AE567" s="77"/>
      <c r="AF567" s="77"/>
      <c r="AG567" s="77"/>
      <c r="AH567" s="78"/>
      <c r="AI567" s="78"/>
      <c r="AJ567" s="78"/>
      <c r="AK567" s="78"/>
      <c r="AL567" s="78"/>
      <c r="AM567" s="78"/>
      <c r="AN567" s="76"/>
      <c r="AO567" s="76"/>
      <c r="AP567" s="76"/>
      <c r="AQ567" s="76"/>
      <c r="AR567" s="76"/>
      <c r="AS567" s="76"/>
      <c r="AT567" s="76"/>
      <c r="AU567" s="76"/>
      <c r="AV567" s="76"/>
      <c r="AW567" s="79"/>
      <c r="AX567" s="79"/>
      <c r="AY567" s="79"/>
      <c r="AZ567" s="79"/>
      <c r="BA567" s="79"/>
      <c r="BB567" s="11"/>
      <c r="BC567" s="11"/>
      <c r="BD567" s="11"/>
      <c r="BE567" s="73"/>
      <c r="BF567" s="73"/>
      <c r="BG567" s="73"/>
      <c r="BH567" s="77"/>
      <c r="BI567" s="77"/>
      <c r="BJ567" s="77"/>
      <c r="BK567" s="77"/>
      <c r="BL567" s="77"/>
      <c r="BM567" s="77"/>
      <c r="BN567" s="158"/>
      <c r="BO567" s="158"/>
    </row>
    <row r="568" spans="1:67" ht="15" x14ac:dyDescent="0.25">
      <c r="A568" s="71"/>
      <c r="B568" s="11"/>
      <c r="C568" s="11"/>
      <c r="D568" s="11"/>
      <c r="E568" s="11"/>
      <c r="F568" s="11"/>
      <c r="G568" s="11"/>
      <c r="H568" s="11"/>
      <c r="I568" s="11"/>
      <c r="J568" s="249"/>
      <c r="K568" s="72"/>
      <c r="L568" s="73"/>
      <c r="M568" s="73"/>
      <c r="N568" s="74"/>
      <c r="O568" s="75"/>
      <c r="P568" s="73"/>
      <c r="Q568" s="76"/>
      <c r="R568" s="76"/>
      <c r="S568" s="76"/>
      <c r="T568" s="76"/>
      <c r="U568" s="76"/>
      <c r="V568" s="76"/>
      <c r="W568" s="76"/>
      <c r="X568" s="76"/>
      <c r="Y568" s="76"/>
      <c r="Z568" s="77"/>
      <c r="AA568" s="77"/>
      <c r="AB568" s="77"/>
      <c r="AC568" s="77"/>
      <c r="AD568" s="77"/>
      <c r="AE568" s="77"/>
      <c r="AF568" s="77"/>
      <c r="AG568" s="77"/>
      <c r="AH568" s="78"/>
      <c r="AI568" s="78"/>
      <c r="AJ568" s="78"/>
      <c r="AK568" s="78"/>
      <c r="AL568" s="78"/>
      <c r="AM568" s="78"/>
      <c r="AN568" s="76"/>
      <c r="AO568" s="76"/>
      <c r="AP568" s="76"/>
      <c r="AQ568" s="76"/>
      <c r="AR568" s="76"/>
      <c r="AS568" s="76"/>
      <c r="AT568" s="76"/>
      <c r="AU568" s="76"/>
      <c r="AV568" s="76"/>
      <c r="AW568" s="79"/>
      <c r="AX568" s="79"/>
      <c r="AY568" s="79"/>
      <c r="AZ568" s="79"/>
      <c r="BA568" s="79"/>
      <c r="BB568" s="11"/>
      <c r="BC568" s="11"/>
      <c r="BD568" s="11"/>
      <c r="BE568" s="73"/>
      <c r="BF568" s="73"/>
      <c r="BG568" s="73"/>
      <c r="BH568" s="77"/>
      <c r="BI568" s="77"/>
      <c r="BJ568" s="77"/>
      <c r="BK568" s="77"/>
      <c r="BL568" s="77"/>
      <c r="BM568" s="77"/>
      <c r="BN568" s="158"/>
      <c r="BO568" s="158"/>
    </row>
    <row r="569" spans="1:67" ht="15" x14ac:dyDescent="0.25">
      <c r="A569" s="71"/>
      <c r="B569" s="11"/>
      <c r="C569" s="11"/>
      <c r="D569" s="11"/>
      <c r="E569" s="11"/>
      <c r="F569" s="11"/>
      <c r="G569" s="11"/>
      <c r="H569" s="11"/>
      <c r="I569" s="11"/>
      <c r="J569" s="249"/>
      <c r="K569" s="72"/>
      <c r="L569" s="73"/>
      <c r="M569" s="73"/>
      <c r="N569" s="74"/>
      <c r="O569" s="75"/>
      <c r="P569" s="73"/>
      <c r="Q569" s="76"/>
      <c r="R569" s="76"/>
      <c r="S569" s="76"/>
      <c r="T569" s="76"/>
      <c r="U569" s="76"/>
      <c r="V569" s="76"/>
      <c r="W569" s="76"/>
      <c r="X569" s="76"/>
      <c r="Y569" s="76"/>
      <c r="Z569" s="77"/>
      <c r="AA569" s="77"/>
      <c r="AB569" s="77"/>
      <c r="AC569" s="77"/>
      <c r="AD569" s="77"/>
      <c r="AE569" s="77"/>
      <c r="AF569" s="77"/>
      <c r="AG569" s="77"/>
      <c r="AH569" s="78"/>
      <c r="AI569" s="78"/>
      <c r="AJ569" s="78"/>
      <c r="AK569" s="78"/>
      <c r="AL569" s="78"/>
      <c r="AM569" s="78"/>
      <c r="AN569" s="76"/>
      <c r="AO569" s="76"/>
      <c r="AP569" s="76"/>
      <c r="AQ569" s="76"/>
      <c r="AR569" s="76"/>
      <c r="AS569" s="76"/>
      <c r="AT569" s="76"/>
      <c r="AU569" s="76"/>
      <c r="AV569" s="76"/>
      <c r="AW569" s="79"/>
      <c r="AX569" s="79"/>
      <c r="AY569" s="79"/>
      <c r="AZ569" s="79"/>
      <c r="BA569" s="79"/>
      <c r="BB569" s="11"/>
      <c r="BC569" s="11"/>
      <c r="BD569" s="11"/>
      <c r="BE569" s="73"/>
      <c r="BF569" s="73"/>
      <c r="BG569" s="73"/>
      <c r="BH569" s="77"/>
      <c r="BI569" s="77"/>
      <c r="BJ569" s="77"/>
      <c r="BK569" s="77"/>
      <c r="BL569" s="77"/>
      <c r="BM569" s="77"/>
      <c r="BN569" s="158"/>
      <c r="BO569" s="158"/>
    </row>
    <row r="570" spans="1:67" ht="15" x14ac:dyDescent="0.25">
      <c r="A570" s="71"/>
      <c r="B570" s="11"/>
      <c r="C570" s="11"/>
      <c r="D570" s="11"/>
      <c r="E570" s="11"/>
      <c r="F570" s="11"/>
      <c r="G570" s="11"/>
      <c r="H570" s="11"/>
      <c r="I570" s="11"/>
      <c r="J570" s="249"/>
      <c r="K570" s="72"/>
      <c r="L570" s="73"/>
      <c r="M570" s="73"/>
      <c r="N570" s="74"/>
      <c r="O570" s="75"/>
      <c r="P570" s="73"/>
      <c r="Q570" s="76"/>
      <c r="R570" s="76"/>
      <c r="S570" s="76"/>
      <c r="T570" s="76"/>
      <c r="U570" s="76"/>
      <c r="V570" s="76"/>
      <c r="W570" s="76"/>
      <c r="X570" s="76"/>
      <c r="Y570" s="76"/>
      <c r="Z570" s="77"/>
      <c r="AA570" s="77"/>
      <c r="AB570" s="77"/>
      <c r="AC570" s="77"/>
      <c r="AD570" s="77"/>
      <c r="AE570" s="77"/>
      <c r="AF570" s="77"/>
      <c r="AG570" s="77"/>
      <c r="AH570" s="78"/>
      <c r="AI570" s="78"/>
      <c r="AJ570" s="78"/>
      <c r="AK570" s="78"/>
      <c r="AL570" s="78"/>
      <c r="AM570" s="78"/>
      <c r="AN570" s="76"/>
      <c r="AO570" s="76"/>
      <c r="AP570" s="76"/>
      <c r="AQ570" s="76"/>
      <c r="AR570" s="76"/>
      <c r="AS570" s="76"/>
      <c r="AT570" s="76"/>
      <c r="AU570" s="76"/>
      <c r="AV570" s="76"/>
      <c r="AW570" s="79"/>
      <c r="AX570" s="79"/>
      <c r="AY570" s="79"/>
      <c r="AZ570" s="79"/>
      <c r="BA570" s="79"/>
      <c r="BB570" s="11"/>
      <c r="BC570" s="11"/>
      <c r="BD570" s="11"/>
      <c r="BE570" s="73"/>
      <c r="BF570" s="73"/>
      <c r="BG570" s="73"/>
      <c r="BH570" s="77"/>
      <c r="BI570" s="77"/>
      <c r="BJ570" s="77"/>
      <c r="BK570" s="77"/>
      <c r="BL570" s="77"/>
      <c r="BM570" s="77"/>
      <c r="BN570" s="158"/>
      <c r="BO570" s="158"/>
    </row>
    <row r="571" spans="1:67" ht="15" x14ac:dyDescent="0.25">
      <c r="A571" s="71"/>
      <c r="B571" s="11"/>
      <c r="C571" s="11"/>
      <c r="D571" s="11"/>
      <c r="E571" s="11"/>
      <c r="F571" s="11"/>
      <c r="G571" s="11"/>
      <c r="H571" s="11"/>
      <c r="I571" s="11"/>
      <c r="J571" s="249"/>
      <c r="K571" s="72"/>
      <c r="L571" s="73"/>
      <c r="M571" s="73"/>
      <c r="N571" s="74"/>
      <c r="O571" s="75"/>
      <c r="P571" s="73"/>
      <c r="Q571" s="76"/>
      <c r="R571" s="76"/>
      <c r="S571" s="76"/>
      <c r="T571" s="76"/>
      <c r="U571" s="76"/>
      <c r="V571" s="76"/>
      <c r="W571" s="76"/>
      <c r="X571" s="76"/>
      <c r="Y571" s="76"/>
      <c r="Z571" s="77"/>
      <c r="AA571" s="77"/>
      <c r="AB571" s="77"/>
      <c r="AC571" s="77"/>
      <c r="AD571" s="77"/>
      <c r="AE571" s="77"/>
      <c r="AF571" s="77"/>
      <c r="AG571" s="77"/>
      <c r="AH571" s="78"/>
      <c r="AI571" s="78"/>
      <c r="AJ571" s="78"/>
      <c r="AK571" s="78"/>
      <c r="AL571" s="78"/>
      <c r="AM571" s="78"/>
      <c r="AN571" s="76"/>
      <c r="AO571" s="76"/>
      <c r="AP571" s="76"/>
      <c r="AQ571" s="76"/>
      <c r="AR571" s="76"/>
      <c r="AS571" s="76"/>
      <c r="AT571" s="76"/>
      <c r="AU571" s="76"/>
      <c r="AV571" s="76"/>
      <c r="AW571" s="79"/>
      <c r="AX571" s="79"/>
      <c r="AY571" s="79"/>
      <c r="AZ571" s="79"/>
      <c r="BA571" s="79"/>
      <c r="BB571" s="11"/>
      <c r="BC571" s="11"/>
      <c r="BD571" s="11"/>
      <c r="BE571" s="73"/>
      <c r="BF571" s="73"/>
      <c r="BG571" s="73"/>
      <c r="BH571" s="77"/>
      <c r="BI571" s="77"/>
      <c r="BJ571" s="77"/>
      <c r="BK571" s="77"/>
      <c r="BL571" s="77"/>
      <c r="BM571" s="77"/>
      <c r="BN571" s="158"/>
      <c r="BO571" s="158"/>
    </row>
    <row r="572" spans="1:67" ht="15" x14ac:dyDescent="0.25">
      <c r="A572" s="71"/>
      <c r="B572" s="11"/>
      <c r="C572" s="11"/>
      <c r="D572" s="11"/>
      <c r="E572" s="11"/>
      <c r="F572" s="11"/>
      <c r="G572" s="11"/>
      <c r="H572" s="11"/>
      <c r="I572" s="11"/>
      <c r="J572" s="249"/>
      <c r="K572" s="72"/>
      <c r="L572" s="73"/>
      <c r="M572" s="73"/>
      <c r="N572" s="74"/>
      <c r="O572" s="75"/>
      <c r="P572" s="73"/>
      <c r="Q572" s="76"/>
      <c r="R572" s="76"/>
      <c r="S572" s="76"/>
      <c r="T572" s="76"/>
      <c r="U572" s="76"/>
      <c r="V572" s="76"/>
      <c r="W572" s="76"/>
      <c r="X572" s="76"/>
      <c r="Y572" s="76"/>
      <c r="Z572" s="77"/>
      <c r="AA572" s="77"/>
      <c r="AB572" s="77"/>
      <c r="AC572" s="77"/>
      <c r="AD572" s="77"/>
      <c r="AE572" s="77"/>
      <c r="AF572" s="77"/>
      <c r="AG572" s="77"/>
      <c r="AH572" s="78"/>
      <c r="AI572" s="78"/>
      <c r="AJ572" s="78"/>
      <c r="AK572" s="78"/>
      <c r="AL572" s="78"/>
      <c r="AM572" s="78"/>
      <c r="AN572" s="76"/>
      <c r="AO572" s="76"/>
      <c r="AP572" s="76"/>
      <c r="AQ572" s="76"/>
      <c r="AR572" s="76"/>
      <c r="AS572" s="76"/>
      <c r="AT572" s="76"/>
      <c r="AU572" s="76"/>
      <c r="AV572" s="76"/>
      <c r="AW572" s="79"/>
      <c r="AX572" s="79"/>
      <c r="AY572" s="79"/>
      <c r="AZ572" s="79"/>
      <c r="BA572" s="79"/>
      <c r="BB572" s="11"/>
      <c r="BC572" s="11"/>
      <c r="BD572" s="11"/>
      <c r="BE572" s="73"/>
      <c r="BF572" s="73"/>
      <c r="BG572" s="73"/>
      <c r="BH572" s="77"/>
      <c r="BI572" s="77"/>
      <c r="BJ572" s="77"/>
      <c r="BK572" s="77"/>
      <c r="BL572" s="77"/>
      <c r="BM572" s="77"/>
      <c r="BN572" s="158"/>
      <c r="BO572" s="158"/>
    </row>
    <row r="573" spans="1:67" ht="15" x14ac:dyDescent="0.25">
      <c r="A573" s="71"/>
      <c r="B573" s="11"/>
      <c r="C573" s="11"/>
      <c r="D573" s="11"/>
      <c r="E573" s="11"/>
      <c r="F573" s="11"/>
      <c r="G573" s="11"/>
      <c r="H573" s="11"/>
      <c r="I573" s="11"/>
      <c r="J573" s="249"/>
      <c r="K573" s="72"/>
      <c r="L573" s="73"/>
      <c r="M573" s="73"/>
      <c r="N573" s="74"/>
      <c r="O573" s="75"/>
      <c r="P573" s="73"/>
      <c r="Q573" s="76"/>
      <c r="R573" s="76"/>
      <c r="S573" s="76"/>
      <c r="T573" s="76"/>
      <c r="U573" s="76"/>
      <c r="V573" s="76"/>
      <c r="W573" s="76"/>
      <c r="X573" s="76"/>
      <c r="Y573" s="76"/>
      <c r="Z573" s="77"/>
      <c r="AA573" s="77"/>
      <c r="AB573" s="77"/>
      <c r="AC573" s="77"/>
      <c r="AD573" s="77"/>
      <c r="AE573" s="77"/>
      <c r="AF573" s="77"/>
      <c r="AG573" s="77"/>
      <c r="AH573" s="78"/>
      <c r="AI573" s="78"/>
      <c r="AJ573" s="78"/>
      <c r="AK573" s="78"/>
      <c r="AL573" s="78"/>
      <c r="AM573" s="78"/>
      <c r="AN573" s="76"/>
      <c r="AO573" s="76"/>
      <c r="AP573" s="76"/>
      <c r="AQ573" s="76"/>
      <c r="AR573" s="76"/>
      <c r="AS573" s="76"/>
      <c r="AT573" s="76"/>
      <c r="AU573" s="76"/>
      <c r="AV573" s="76"/>
      <c r="AW573" s="79"/>
      <c r="AX573" s="79"/>
      <c r="AY573" s="79"/>
      <c r="AZ573" s="79"/>
      <c r="BA573" s="79"/>
      <c r="BB573" s="11"/>
      <c r="BC573" s="11"/>
      <c r="BD573" s="11"/>
      <c r="BE573" s="73"/>
      <c r="BF573" s="73"/>
      <c r="BG573" s="73"/>
      <c r="BH573" s="77"/>
      <c r="BI573" s="77"/>
      <c r="BJ573" s="77"/>
      <c r="BK573" s="77"/>
      <c r="BL573" s="77"/>
      <c r="BM573" s="77"/>
      <c r="BN573" s="158"/>
      <c r="BO573" s="158"/>
    </row>
    <row r="574" spans="1:67" ht="15" x14ac:dyDescent="0.25">
      <c r="A574" s="71"/>
      <c r="B574" s="11"/>
      <c r="C574" s="11"/>
      <c r="D574" s="11"/>
      <c r="E574" s="11"/>
      <c r="F574" s="11"/>
      <c r="G574" s="11"/>
      <c r="H574" s="11"/>
      <c r="I574" s="11"/>
      <c r="J574" s="249"/>
      <c r="K574" s="72"/>
      <c r="L574" s="73"/>
      <c r="M574" s="73"/>
      <c r="N574" s="74"/>
      <c r="O574" s="75"/>
      <c r="P574" s="73"/>
      <c r="Q574" s="76"/>
      <c r="R574" s="76"/>
      <c r="S574" s="76"/>
      <c r="T574" s="76"/>
      <c r="U574" s="76"/>
      <c r="V574" s="76"/>
      <c r="W574" s="76"/>
      <c r="X574" s="76"/>
      <c r="Y574" s="76"/>
      <c r="Z574" s="77"/>
      <c r="AA574" s="77"/>
      <c r="AB574" s="77"/>
      <c r="AC574" s="77"/>
      <c r="AD574" s="77"/>
      <c r="AE574" s="77"/>
      <c r="AF574" s="77"/>
      <c r="AG574" s="77"/>
      <c r="AH574" s="78"/>
      <c r="AI574" s="78"/>
      <c r="AJ574" s="78"/>
      <c r="AK574" s="78"/>
      <c r="AL574" s="78"/>
      <c r="AM574" s="78"/>
      <c r="AN574" s="76"/>
      <c r="AO574" s="76"/>
      <c r="AP574" s="76"/>
      <c r="AQ574" s="76"/>
      <c r="AR574" s="76"/>
      <c r="AS574" s="76"/>
      <c r="AT574" s="76"/>
      <c r="AU574" s="76"/>
      <c r="AV574" s="76"/>
      <c r="AW574" s="79"/>
      <c r="AX574" s="79"/>
      <c r="AY574" s="79"/>
      <c r="AZ574" s="79"/>
      <c r="BA574" s="79"/>
      <c r="BB574" s="11"/>
      <c r="BC574" s="11"/>
      <c r="BD574" s="11"/>
      <c r="BE574" s="73"/>
      <c r="BF574" s="73"/>
      <c r="BG574" s="73"/>
      <c r="BH574" s="77"/>
      <c r="BI574" s="77"/>
      <c r="BJ574" s="77"/>
      <c r="BK574" s="77"/>
      <c r="BL574" s="77"/>
      <c r="BM574" s="77"/>
      <c r="BN574" s="158"/>
      <c r="BO574" s="158"/>
    </row>
    <row r="575" spans="1:67" ht="15" x14ac:dyDescent="0.25">
      <c r="A575" s="71"/>
      <c r="B575" s="11"/>
      <c r="C575" s="11"/>
      <c r="D575" s="11"/>
      <c r="E575" s="11"/>
      <c r="F575" s="11"/>
      <c r="G575" s="11"/>
      <c r="H575" s="11"/>
      <c r="I575" s="11"/>
      <c r="J575" s="249"/>
      <c r="K575" s="72"/>
      <c r="L575" s="73"/>
      <c r="M575" s="73"/>
      <c r="N575" s="74"/>
      <c r="O575" s="75"/>
      <c r="P575" s="73"/>
      <c r="Q575" s="76"/>
      <c r="R575" s="76"/>
      <c r="S575" s="76"/>
      <c r="T575" s="76"/>
      <c r="U575" s="76"/>
      <c r="V575" s="76"/>
      <c r="W575" s="76"/>
      <c r="X575" s="76"/>
      <c r="Y575" s="76"/>
      <c r="Z575" s="77"/>
      <c r="AA575" s="77"/>
      <c r="AB575" s="77"/>
      <c r="AC575" s="77"/>
      <c r="AD575" s="77"/>
      <c r="AE575" s="77"/>
      <c r="AF575" s="77"/>
      <c r="AG575" s="77"/>
      <c r="AH575" s="78"/>
      <c r="AI575" s="78"/>
      <c r="AJ575" s="78"/>
      <c r="AK575" s="78"/>
      <c r="AL575" s="78"/>
      <c r="AM575" s="78"/>
      <c r="AN575" s="76"/>
      <c r="AO575" s="76"/>
      <c r="AP575" s="76"/>
      <c r="AQ575" s="76"/>
      <c r="AR575" s="76"/>
      <c r="AS575" s="76"/>
      <c r="AT575" s="76"/>
      <c r="AU575" s="76"/>
      <c r="AV575" s="76"/>
      <c r="AW575" s="79"/>
      <c r="AX575" s="79"/>
      <c r="AY575" s="79"/>
      <c r="AZ575" s="79"/>
      <c r="BA575" s="79"/>
      <c r="BB575" s="11"/>
      <c r="BC575" s="11"/>
      <c r="BD575" s="11"/>
      <c r="BE575" s="73"/>
      <c r="BF575" s="73"/>
      <c r="BG575" s="73"/>
      <c r="BH575" s="77"/>
      <c r="BI575" s="77"/>
      <c r="BJ575" s="77"/>
      <c r="BK575" s="77"/>
      <c r="BL575" s="77"/>
      <c r="BM575" s="77"/>
      <c r="BN575" s="158"/>
      <c r="BO575" s="158"/>
    </row>
    <row r="576" spans="1:67" ht="15" x14ac:dyDescent="0.25">
      <c r="A576" s="71"/>
      <c r="B576" s="11"/>
      <c r="C576" s="11"/>
      <c r="D576" s="11"/>
      <c r="E576" s="11"/>
      <c r="F576" s="11"/>
      <c r="G576" s="11"/>
      <c r="H576" s="11"/>
      <c r="I576" s="11"/>
      <c r="J576" s="249"/>
      <c r="K576" s="72"/>
      <c r="L576" s="73"/>
      <c r="M576" s="73"/>
      <c r="N576" s="74"/>
      <c r="O576" s="75"/>
      <c r="P576" s="73"/>
      <c r="Q576" s="76"/>
      <c r="R576" s="76"/>
      <c r="S576" s="76"/>
      <c r="T576" s="76"/>
      <c r="U576" s="76"/>
      <c r="V576" s="76"/>
      <c r="W576" s="76"/>
      <c r="X576" s="76"/>
      <c r="Y576" s="76"/>
      <c r="Z576" s="77"/>
      <c r="AA576" s="77"/>
      <c r="AB576" s="77"/>
      <c r="AC576" s="77"/>
      <c r="AD576" s="77"/>
      <c r="AE576" s="77"/>
      <c r="AF576" s="77"/>
      <c r="AG576" s="77"/>
      <c r="AH576" s="78"/>
      <c r="AI576" s="78"/>
      <c r="AJ576" s="78"/>
      <c r="AK576" s="78"/>
      <c r="AL576" s="78"/>
      <c r="AM576" s="78"/>
      <c r="AN576" s="76"/>
      <c r="AO576" s="76"/>
      <c r="AP576" s="76"/>
      <c r="AQ576" s="76"/>
      <c r="AR576" s="76"/>
      <c r="AS576" s="76"/>
      <c r="AT576" s="76"/>
      <c r="AU576" s="76"/>
      <c r="AV576" s="76"/>
      <c r="AW576" s="79"/>
      <c r="AX576" s="79"/>
      <c r="AY576" s="79"/>
      <c r="AZ576" s="79"/>
      <c r="BA576" s="79"/>
      <c r="BB576" s="11"/>
      <c r="BC576" s="11"/>
      <c r="BD576" s="11"/>
      <c r="BE576" s="73"/>
      <c r="BF576" s="73"/>
      <c r="BG576" s="73"/>
      <c r="BH576" s="77"/>
      <c r="BI576" s="77"/>
      <c r="BJ576" s="77"/>
      <c r="BK576" s="77"/>
      <c r="BL576" s="77"/>
      <c r="BM576" s="77"/>
      <c r="BN576" s="158"/>
      <c r="BO576" s="158"/>
    </row>
    <row r="577" spans="1:67" ht="15" x14ac:dyDescent="0.25">
      <c r="A577" s="71"/>
      <c r="B577" s="11"/>
      <c r="C577" s="11"/>
      <c r="D577" s="11"/>
      <c r="E577" s="11"/>
      <c r="F577" s="11"/>
      <c r="G577" s="11"/>
      <c r="H577" s="11"/>
      <c r="I577" s="11"/>
      <c r="J577" s="249"/>
      <c r="K577" s="72"/>
      <c r="L577" s="73"/>
      <c r="M577" s="73"/>
      <c r="N577" s="74"/>
      <c r="O577" s="75"/>
      <c r="P577" s="73"/>
      <c r="Q577" s="76"/>
      <c r="R577" s="76"/>
      <c r="S577" s="76"/>
      <c r="T577" s="76"/>
      <c r="U577" s="76"/>
      <c r="V577" s="76"/>
      <c r="W577" s="76"/>
      <c r="X577" s="76"/>
      <c r="Y577" s="76"/>
      <c r="Z577" s="77"/>
      <c r="AA577" s="77"/>
      <c r="AB577" s="77"/>
      <c r="AC577" s="77"/>
      <c r="AD577" s="77"/>
      <c r="AE577" s="77"/>
      <c r="AF577" s="77"/>
      <c r="AG577" s="77"/>
      <c r="AH577" s="78"/>
      <c r="AI577" s="78"/>
      <c r="AJ577" s="78"/>
      <c r="AK577" s="78"/>
      <c r="AL577" s="78"/>
      <c r="AM577" s="78"/>
      <c r="AN577" s="76"/>
      <c r="AO577" s="76"/>
      <c r="AP577" s="76"/>
      <c r="AQ577" s="76"/>
      <c r="AR577" s="76"/>
      <c r="AS577" s="76"/>
      <c r="AT577" s="76"/>
      <c r="AU577" s="76"/>
      <c r="AV577" s="76"/>
      <c r="AW577" s="79"/>
      <c r="AX577" s="79"/>
      <c r="AY577" s="79"/>
      <c r="AZ577" s="79"/>
      <c r="BA577" s="79"/>
      <c r="BB577" s="11"/>
      <c r="BC577" s="11"/>
      <c r="BD577" s="11"/>
      <c r="BE577" s="73"/>
      <c r="BF577" s="73"/>
      <c r="BG577" s="73"/>
      <c r="BH577" s="77"/>
      <c r="BI577" s="77"/>
      <c r="BJ577" s="77"/>
      <c r="BK577" s="77"/>
      <c r="BL577" s="77"/>
      <c r="BM577" s="77"/>
      <c r="BN577" s="158"/>
      <c r="BO577" s="158"/>
    </row>
    <row r="578" spans="1:67" ht="15" x14ac:dyDescent="0.25">
      <c r="A578" s="71"/>
      <c r="B578" s="11"/>
      <c r="C578" s="11"/>
      <c r="D578" s="11"/>
      <c r="E578" s="11"/>
      <c r="F578" s="11"/>
      <c r="G578" s="11"/>
      <c r="H578" s="11"/>
      <c r="I578" s="11"/>
      <c r="J578" s="249"/>
      <c r="K578" s="72"/>
      <c r="L578" s="73"/>
      <c r="M578" s="73"/>
      <c r="N578" s="74"/>
      <c r="O578" s="75"/>
      <c r="P578" s="73"/>
      <c r="Q578" s="76"/>
      <c r="R578" s="76"/>
      <c r="S578" s="76"/>
      <c r="T578" s="76"/>
      <c r="U578" s="76"/>
      <c r="V578" s="76"/>
      <c r="W578" s="76"/>
      <c r="X578" s="76"/>
      <c r="Y578" s="76"/>
      <c r="Z578" s="77"/>
      <c r="AA578" s="77"/>
      <c r="AB578" s="77"/>
      <c r="AC578" s="77"/>
      <c r="AD578" s="77"/>
      <c r="AE578" s="77"/>
      <c r="AF578" s="77"/>
      <c r="AG578" s="77"/>
      <c r="AH578" s="78"/>
      <c r="AI578" s="78"/>
      <c r="AJ578" s="78"/>
      <c r="AK578" s="78"/>
      <c r="AL578" s="78"/>
      <c r="AM578" s="78"/>
      <c r="AN578" s="76"/>
      <c r="AO578" s="76"/>
      <c r="AP578" s="76"/>
      <c r="AQ578" s="76"/>
      <c r="AR578" s="76"/>
      <c r="AS578" s="76"/>
      <c r="AT578" s="76"/>
      <c r="AU578" s="76"/>
      <c r="AV578" s="76"/>
      <c r="AW578" s="79"/>
      <c r="AX578" s="79"/>
      <c r="AY578" s="79"/>
      <c r="AZ578" s="79"/>
      <c r="BA578" s="79"/>
      <c r="BB578" s="11"/>
      <c r="BC578" s="11"/>
      <c r="BD578" s="11"/>
      <c r="BE578" s="73"/>
      <c r="BF578" s="73"/>
      <c r="BG578" s="73"/>
      <c r="BH578" s="77"/>
      <c r="BI578" s="77"/>
      <c r="BJ578" s="77"/>
      <c r="BK578" s="77"/>
      <c r="BL578" s="77"/>
      <c r="BM578" s="77"/>
      <c r="BN578" s="158"/>
      <c r="BO578" s="158"/>
    </row>
    <row r="579" spans="1:67" ht="15" x14ac:dyDescent="0.25">
      <c r="A579" s="71"/>
      <c r="B579" s="11"/>
      <c r="C579" s="11"/>
      <c r="D579" s="11"/>
      <c r="E579" s="11"/>
      <c r="F579" s="11"/>
      <c r="G579" s="11"/>
      <c r="H579" s="11"/>
      <c r="I579" s="11"/>
      <c r="J579" s="249"/>
      <c r="K579" s="72"/>
      <c r="L579" s="73"/>
      <c r="M579" s="73"/>
      <c r="N579" s="74"/>
      <c r="O579" s="75"/>
      <c r="P579" s="73"/>
      <c r="Q579" s="76"/>
      <c r="R579" s="76"/>
      <c r="S579" s="76"/>
      <c r="T579" s="76"/>
      <c r="U579" s="76"/>
      <c r="V579" s="76"/>
      <c r="W579" s="76"/>
      <c r="X579" s="76"/>
      <c r="Y579" s="76"/>
      <c r="Z579" s="77"/>
      <c r="AA579" s="77"/>
      <c r="AB579" s="77"/>
      <c r="AC579" s="77"/>
      <c r="AD579" s="77"/>
      <c r="AE579" s="77"/>
      <c r="AF579" s="77"/>
      <c r="AG579" s="77"/>
      <c r="AH579" s="78"/>
      <c r="AI579" s="78"/>
      <c r="AJ579" s="78"/>
      <c r="AK579" s="78"/>
      <c r="AL579" s="78"/>
      <c r="AM579" s="78"/>
      <c r="AN579" s="76"/>
      <c r="AO579" s="76"/>
      <c r="AP579" s="76"/>
      <c r="AQ579" s="76"/>
      <c r="AR579" s="76"/>
      <c r="AS579" s="76"/>
      <c r="AT579" s="76"/>
      <c r="AU579" s="76"/>
      <c r="AV579" s="76"/>
      <c r="AW579" s="79"/>
      <c r="AX579" s="79"/>
      <c r="AY579" s="79"/>
      <c r="AZ579" s="79"/>
      <c r="BA579" s="79"/>
      <c r="BB579" s="11"/>
      <c r="BC579" s="11"/>
      <c r="BD579" s="11"/>
      <c r="BE579" s="73"/>
      <c r="BF579" s="73"/>
      <c r="BG579" s="73"/>
      <c r="BH579" s="77"/>
      <c r="BI579" s="77"/>
      <c r="BJ579" s="77"/>
      <c r="BK579" s="77"/>
      <c r="BL579" s="77"/>
      <c r="BM579" s="77"/>
      <c r="BN579" s="158"/>
      <c r="BO579" s="158"/>
    </row>
    <row r="580" spans="1:67" ht="15" x14ac:dyDescent="0.25">
      <c r="A580" s="71"/>
      <c r="B580" s="11"/>
      <c r="C580" s="11"/>
      <c r="D580" s="11"/>
      <c r="E580" s="11"/>
      <c r="F580" s="11"/>
      <c r="G580" s="11"/>
      <c r="H580" s="11"/>
      <c r="I580" s="11"/>
      <c r="J580" s="249"/>
      <c r="K580" s="72"/>
      <c r="L580" s="73"/>
      <c r="M580" s="73"/>
      <c r="N580" s="74"/>
      <c r="O580" s="75"/>
      <c r="P580" s="73"/>
      <c r="Q580" s="76"/>
      <c r="R580" s="76"/>
      <c r="S580" s="76"/>
      <c r="T580" s="76"/>
      <c r="U580" s="76"/>
      <c r="V580" s="76"/>
      <c r="W580" s="76"/>
      <c r="X580" s="76"/>
      <c r="Y580" s="76"/>
      <c r="Z580" s="77"/>
      <c r="AA580" s="77"/>
      <c r="AB580" s="77"/>
      <c r="AC580" s="77"/>
      <c r="AD580" s="77"/>
      <c r="AE580" s="77"/>
      <c r="AF580" s="77"/>
      <c r="AG580" s="77"/>
      <c r="AH580" s="78"/>
      <c r="AI580" s="78"/>
      <c r="AJ580" s="78"/>
      <c r="AK580" s="78"/>
      <c r="AL580" s="78"/>
      <c r="AM580" s="78"/>
      <c r="AN580" s="76"/>
      <c r="AO580" s="76"/>
      <c r="AP580" s="76"/>
      <c r="AQ580" s="76"/>
      <c r="AR580" s="76"/>
      <c r="AS580" s="76"/>
      <c r="AT580" s="76"/>
      <c r="AU580" s="76"/>
      <c r="AV580" s="76"/>
      <c r="AW580" s="79"/>
      <c r="AX580" s="79"/>
      <c r="AY580" s="79"/>
      <c r="AZ580" s="79"/>
      <c r="BA580" s="79"/>
      <c r="BB580" s="11"/>
      <c r="BC580" s="11"/>
      <c r="BD580" s="11"/>
      <c r="BE580" s="73"/>
      <c r="BF580" s="73"/>
      <c r="BG580" s="73"/>
      <c r="BH580" s="77"/>
      <c r="BI580" s="77"/>
      <c r="BJ580" s="77"/>
      <c r="BK580" s="77"/>
      <c r="BL580" s="77"/>
      <c r="BM580" s="77"/>
      <c r="BN580" s="158"/>
      <c r="BO580" s="158"/>
    </row>
    <row r="581" spans="1:67" ht="15" x14ac:dyDescent="0.25">
      <c r="A581" s="71"/>
      <c r="B581" s="11"/>
      <c r="C581" s="11"/>
      <c r="D581" s="11"/>
      <c r="E581" s="11"/>
      <c r="F581" s="11"/>
      <c r="G581" s="11"/>
      <c r="H581" s="11"/>
      <c r="I581" s="11"/>
      <c r="J581" s="249"/>
      <c r="K581" s="72"/>
      <c r="L581" s="73"/>
      <c r="M581" s="73"/>
      <c r="N581" s="74"/>
      <c r="O581" s="75"/>
      <c r="P581" s="73"/>
      <c r="Q581" s="76"/>
      <c r="R581" s="76"/>
      <c r="S581" s="76"/>
      <c r="T581" s="76"/>
      <c r="U581" s="76"/>
      <c r="V581" s="76"/>
      <c r="W581" s="76"/>
      <c r="X581" s="76"/>
      <c r="Y581" s="76"/>
      <c r="Z581" s="77"/>
      <c r="AA581" s="77"/>
      <c r="AB581" s="77"/>
      <c r="AC581" s="77"/>
      <c r="AD581" s="77"/>
      <c r="AE581" s="77"/>
      <c r="AF581" s="77"/>
      <c r="AG581" s="77"/>
      <c r="AH581" s="78"/>
      <c r="AI581" s="78"/>
      <c r="AJ581" s="78"/>
      <c r="AK581" s="78"/>
      <c r="AL581" s="78"/>
      <c r="AM581" s="78"/>
      <c r="AN581" s="76"/>
      <c r="AO581" s="76"/>
      <c r="AP581" s="76"/>
      <c r="AQ581" s="76"/>
      <c r="AR581" s="76"/>
      <c r="AS581" s="76"/>
      <c r="AT581" s="76"/>
      <c r="AU581" s="76"/>
      <c r="AV581" s="76"/>
      <c r="AW581" s="79"/>
      <c r="AX581" s="79"/>
      <c r="AY581" s="79"/>
      <c r="AZ581" s="79"/>
      <c r="BA581" s="79"/>
      <c r="BB581" s="11"/>
      <c r="BC581" s="11"/>
      <c r="BD581" s="11"/>
      <c r="BE581" s="73"/>
      <c r="BF581" s="73"/>
      <c r="BG581" s="73"/>
      <c r="BH581" s="77"/>
      <c r="BI581" s="77"/>
      <c r="BJ581" s="77"/>
      <c r="BK581" s="77"/>
      <c r="BL581" s="77"/>
      <c r="BM581" s="77"/>
      <c r="BN581" s="158"/>
      <c r="BO581" s="158"/>
    </row>
    <row r="582" spans="1:67" ht="15" x14ac:dyDescent="0.25">
      <c r="A582" s="71"/>
      <c r="B582" s="11"/>
      <c r="C582" s="11"/>
      <c r="D582" s="11"/>
      <c r="E582" s="11"/>
      <c r="F582" s="11"/>
      <c r="G582" s="11"/>
      <c r="H582" s="11"/>
      <c r="I582" s="11"/>
      <c r="J582" s="249"/>
      <c r="K582" s="72"/>
      <c r="L582" s="73"/>
      <c r="M582" s="73"/>
      <c r="N582" s="74"/>
      <c r="O582" s="75"/>
      <c r="P582" s="73"/>
      <c r="Q582" s="76"/>
      <c r="R582" s="76"/>
      <c r="S582" s="76"/>
      <c r="T582" s="76"/>
      <c r="U582" s="76"/>
      <c r="V582" s="76"/>
      <c r="W582" s="76"/>
      <c r="X582" s="76"/>
      <c r="Y582" s="76"/>
      <c r="Z582" s="77"/>
      <c r="AA582" s="77"/>
      <c r="AB582" s="77"/>
      <c r="AC582" s="77"/>
      <c r="AD582" s="77"/>
      <c r="AE582" s="77"/>
      <c r="AF582" s="77"/>
      <c r="AG582" s="77"/>
      <c r="AH582" s="78"/>
      <c r="AI582" s="78"/>
      <c r="AJ582" s="78"/>
      <c r="AK582" s="78"/>
      <c r="AL582" s="78"/>
      <c r="AM582" s="78"/>
      <c r="AN582" s="76"/>
      <c r="AO582" s="76"/>
      <c r="AP582" s="76"/>
      <c r="AQ582" s="76"/>
      <c r="AR582" s="76"/>
      <c r="AS582" s="76"/>
      <c r="AT582" s="76"/>
      <c r="AU582" s="76"/>
      <c r="AV582" s="76"/>
      <c r="AW582" s="79"/>
      <c r="AX582" s="79"/>
      <c r="AY582" s="79"/>
      <c r="AZ582" s="79"/>
      <c r="BA582" s="79"/>
      <c r="BB582" s="11"/>
      <c r="BC582" s="11"/>
      <c r="BD582" s="11"/>
      <c r="BE582" s="73"/>
      <c r="BF582" s="73"/>
      <c r="BG582" s="73"/>
      <c r="BH582" s="77"/>
      <c r="BI582" s="77"/>
      <c r="BJ582" s="77"/>
      <c r="BK582" s="77"/>
      <c r="BL582" s="77"/>
      <c r="BM582" s="77"/>
      <c r="BN582" s="158"/>
      <c r="BO582" s="158"/>
    </row>
    <row r="583" spans="1:67" ht="15" x14ac:dyDescent="0.25">
      <c r="A583" s="71"/>
      <c r="B583" s="11"/>
      <c r="C583" s="11"/>
      <c r="D583" s="11"/>
      <c r="E583" s="11"/>
      <c r="F583" s="11"/>
      <c r="G583" s="11"/>
      <c r="H583" s="11"/>
      <c r="I583" s="11"/>
      <c r="J583" s="249"/>
      <c r="K583" s="72"/>
      <c r="L583" s="73"/>
      <c r="M583" s="73"/>
      <c r="N583" s="74"/>
      <c r="O583" s="75"/>
      <c r="P583" s="73"/>
      <c r="Q583" s="76"/>
      <c r="R583" s="76"/>
      <c r="S583" s="76"/>
      <c r="T583" s="76"/>
      <c r="U583" s="76"/>
      <c r="V583" s="76"/>
      <c r="W583" s="76"/>
      <c r="X583" s="76"/>
      <c r="Y583" s="76"/>
      <c r="Z583" s="77"/>
      <c r="AA583" s="77"/>
      <c r="AB583" s="77"/>
      <c r="AC583" s="77"/>
      <c r="AD583" s="77"/>
      <c r="AE583" s="77"/>
      <c r="AF583" s="77"/>
      <c r="AG583" s="77"/>
      <c r="AH583" s="78"/>
      <c r="AI583" s="78"/>
      <c r="AJ583" s="78"/>
      <c r="AK583" s="78"/>
      <c r="AL583" s="78"/>
      <c r="AM583" s="78"/>
      <c r="AN583" s="76"/>
      <c r="AO583" s="76"/>
      <c r="AP583" s="76"/>
      <c r="AQ583" s="76"/>
      <c r="AR583" s="76"/>
      <c r="AS583" s="76"/>
      <c r="AT583" s="76"/>
      <c r="AU583" s="76"/>
      <c r="AV583" s="76"/>
      <c r="AW583" s="79"/>
      <c r="AX583" s="79"/>
      <c r="AY583" s="79"/>
      <c r="AZ583" s="79"/>
      <c r="BA583" s="79"/>
      <c r="BB583" s="11"/>
      <c r="BC583" s="11"/>
      <c r="BD583" s="11"/>
      <c r="BE583" s="73"/>
      <c r="BF583" s="73"/>
      <c r="BG583" s="73"/>
      <c r="BH583" s="77"/>
      <c r="BI583" s="77"/>
      <c r="BJ583" s="77"/>
      <c r="BK583" s="77"/>
      <c r="BL583" s="77"/>
      <c r="BM583" s="77"/>
      <c r="BN583" s="158"/>
      <c r="BO583" s="158"/>
    </row>
    <row r="584" spans="1:67" ht="15" x14ac:dyDescent="0.25">
      <c r="A584" s="71"/>
      <c r="B584" s="11"/>
      <c r="C584" s="11"/>
      <c r="D584" s="11"/>
      <c r="E584" s="11"/>
      <c r="F584" s="11"/>
      <c r="G584" s="11"/>
      <c r="H584" s="11"/>
      <c r="I584" s="11"/>
      <c r="J584" s="249"/>
      <c r="K584" s="72"/>
      <c r="L584" s="73"/>
      <c r="M584" s="73"/>
      <c r="N584" s="74"/>
      <c r="O584" s="75"/>
      <c r="P584" s="73"/>
      <c r="Q584" s="76"/>
      <c r="R584" s="76"/>
      <c r="S584" s="76"/>
      <c r="T584" s="76"/>
      <c r="U584" s="76"/>
      <c r="V584" s="76"/>
      <c r="W584" s="76"/>
      <c r="X584" s="76"/>
      <c r="Y584" s="76"/>
      <c r="Z584" s="77"/>
      <c r="AA584" s="77"/>
      <c r="AB584" s="77"/>
      <c r="AC584" s="77"/>
      <c r="AD584" s="77"/>
      <c r="AE584" s="77"/>
      <c r="AF584" s="77"/>
      <c r="AG584" s="77"/>
      <c r="AH584" s="78"/>
      <c r="AI584" s="78"/>
      <c r="AJ584" s="78"/>
      <c r="AK584" s="78"/>
      <c r="AL584" s="78"/>
      <c r="AM584" s="78"/>
      <c r="AN584" s="76"/>
      <c r="AO584" s="76"/>
      <c r="AP584" s="76"/>
      <c r="AQ584" s="76"/>
      <c r="AR584" s="76"/>
      <c r="AS584" s="76"/>
      <c r="AT584" s="76"/>
      <c r="AU584" s="76"/>
      <c r="AV584" s="76"/>
      <c r="AW584" s="79"/>
      <c r="AX584" s="79"/>
      <c r="AY584" s="79"/>
      <c r="AZ584" s="79"/>
      <c r="BA584" s="79"/>
      <c r="BB584" s="11"/>
      <c r="BC584" s="11"/>
      <c r="BD584" s="11"/>
      <c r="BE584" s="73"/>
      <c r="BF584" s="73"/>
      <c r="BG584" s="73"/>
      <c r="BH584" s="77"/>
      <c r="BI584" s="77"/>
      <c r="BJ584" s="77"/>
      <c r="BK584" s="77"/>
      <c r="BL584" s="77"/>
      <c r="BM584" s="77"/>
      <c r="BN584" s="158"/>
      <c r="BO584" s="158"/>
    </row>
    <row r="585" spans="1:67" ht="15" x14ac:dyDescent="0.25">
      <c r="A585" s="71"/>
      <c r="B585" s="11"/>
      <c r="C585" s="11"/>
      <c r="D585" s="11"/>
      <c r="E585" s="11"/>
      <c r="F585" s="11"/>
      <c r="G585" s="11"/>
      <c r="H585" s="11"/>
      <c r="I585" s="11"/>
      <c r="J585" s="249"/>
      <c r="K585" s="72"/>
      <c r="L585" s="73"/>
      <c r="M585" s="73"/>
      <c r="N585" s="74"/>
      <c r="O585" s="75"/>
      <c r="P585" s="73"/>
      <c r="Q585" s="76"/>
      <c r="R585" s="76"/>
      <c r="S585" s="76"/>
      <c r="T585" s="76"/>
      <c r="U585" s="76"/>
      <c r="V585" s="76"/>
      <c r="W585" s="76"/>
      <c r="X585" s="76"/>
      <c r="Y585" s="76"/>
      <c r="Z585" s="77"/>
      <c r="AA585" s="77"/>
      <c r="AB585" s="77"/>
      <c r="AC585" s="77"/>
      <c r="AD585" s="77"/>
      <c r="AE585" s="77"/>
      <c r="AF585" s="77"/>
      <c r="AG585" s="77"/>
      <c r="AH585" s="78"/>
      <c r="AI585" s="78"/>
      <c r="AJ585" s="78"/>
      <c r="AK585" s="78"/>
      <c r="AL585" s="78"/>
      <c r="AM585" s="78"/>
      <c r="AN585" s="76"/>
      <c r="AO585" s="76"/>
      <c r="AP585" s="76"/>
      <c r="AQ585" s="76"/>
      <c r="AR585" s="76"/>
      <c r="AS585" s="76"/>
      <c r="AT585" s="76"/>
      <c r="AU585" s="76"/>
      <c r="AV585" s="76"/>
      <c r="AW585" s="79"/>
      <c r="AX585" s="79"/>
      <c r="AY585" s="79"/>
      <c r="AZ585" s="79"/>
      <c r="BA585" s="79"/>
      <c r="BB585" s="11"/>
      <c r="BC585" s="11"/>
      <c r="BD585" s="11"/>
      <c r="BE585" s="73"/>
      <c r="BF585" s="73"/>
      <c r="BG585" s="73"/>
      <c r="BH585" s="77"/>
      <c r="BI585" s="77"/>
      <c r="BJ585" s="77"/>
      <c r="BK585" s="77"/>
      <c r="BL585" s="77"/>
      <c r="BM585" s="77"/>
      <c r="BN585" s="158"/>
      <c r="BO585" s="158"/>
    </row>
    <row r="586" spans="1:67" ht="15" x14ac:dyDescent="0.25">
      <c r="A586" s="71"/>
      <c r="B586" s="11"/>
      <c r="C586" s="11"/>
      <c r="D586" s="11"/>
      <c r="E586" s="11"/>
      <c r="F586" s="11"/>
      <c r="G586" s="11"/>
      <c r="H586" s="11"/>
      <c r="I586" s="11"/>
      <c r="J586" s="249"/>
      <c r="K586" s="72"/>
      <c r="L586" s="73"/>
      <c r="M586" s="73"/>
      <c r="N586" s="74"/>
      <c r="O586" s="75"/>
      <c r="P586" s="73"/>
      <c r="Q586" s="76"/>
      <c r="R586" s="76"/>
      <c r="S586" s="76"/>
      <c r="T586" s="76"/>
      <c r="U586" s="76"/>
      <c r="V586" s="76"/>
      <c r="W586" s="76"/>
      <c r="X586" s="76"/>
      <c r="Y586" s="76"/>
      <c r="Z586" s="77"/>
      <c r="AA586" s="77"/>
      <c r="AB586" s="77"/>
      <c r="AC586" s="77"/>
      <c r="AD586" s="77"/>
      <c r="AE586" s="77"/>
      <c r="AF586" s="77"/>
      <c r="AG586" s="77"/>
      <c r="AH586" s="78"/>
      <c r="AI586" s="78"/>
      <c r="AJ586" s="78"/>
      <c r="AK586" s="78"/>
      <c r="AL586" s="78"/>
      <c r="AM586" s="78"/>
      <c r="AN586" s="76"/>
      <c r="AO586" s="76"/>
      <c r="AP586" s="76"/>
      <c r="AQ586" s="76"/>
      <c r="AR586" s="76"/>
      <c r="AS586" s="76"/>
      <c r="AT586" s="76"/>
      <c r="AU586" s="76"/>
      <c r="AV586" s="76"/>
      <c r="AW586" s="79"/>
      <c r="AX586" s="79"/>
      <c r="AY586" s="79"/>
      <c r="AZ586" s="79"/>
      <c r="BA586" s="79"/>
      <c r="BB586" s="11"/>
      <c r="BC586" s="11"/>
      <c r="BD586" s="11"/>
      <c r="BE586" s="73"/>
      <c r="BF586" s="73"/>
      <c r="BG586" s="73"/>
      <c r="BH586" s="77"/>
      <c r="BI586" s="77"/>
      <c r="BJ586" s="77"/>
      <c r="BK586" s="77"/>
      <c r="BL586" s="77"/>
      <c r="BM586" s="77"/>
      <c r="BN586" s="158"/>
      <c r="BO586" s="158"/>
    </row>
    <row r="587" spans="1:67" ht="15" x14ac:dyDescent="0.25">
      <c r="A587" s="71"/>
      <c r="B587" s="11"/>
      <c r="C587" s="11"/>
      <c r="D587" s="11"/>
      <c r="E587" s="11"/>
      <c r="F587" s="11"/>
      <c r="G587" s="11"/>
      <c r="H587" s="11"/>
      <c r="I587" s="11"/>
      <c r="J587" s="249"/>
      <c r="K587" s="72"/>
      <c r="L587" s="73"/>
      <c r="M587" s="73"/>
      <c r="N587" s="74"/>
      <c r="O587" s="75"/>
      <c r="P587" s="73"/>
      <c r="Q587" s="76"/>
      <c r="R587" s="76"/>
      <c r="S587" s="76"/>
      <c r="T587" s="76"/>
      <c r="U587" s="76"/>
      <c r="V587" s="76"/>
      <c r="W587" s="76"/>
      <c r="X587" s="76"/>
      <c r="Y587" s="76"/>
      <c r="Z587" s="77"/>
      <c r="AA587" s="77"/>
      <c r="AB587" s="77"/>
      <c r="AC587" s="77"/>
      <c r="AD587" s="77"/>
      <c r="AE587" s="77"/>
      <c r="AF587" s="77"/>
      <c r="AG587" s="77"/>
      <c r="AH587" s="78"/>
      <c r="AI587" s="78"/>
      <c r="AJ587" s="78"/>
      <c r="AK587" s="78"/>
      <c r="AL587" s="78"/>
      <c r="AM587" s="78"/>
      <c r="AN587" s="76"/>
      <c r="AO587" s="76"/>
      <c r="AP587" s="76"/>
      <c r="AQ587" s="76"/>
      <c r="AR587" s="76"/>
      <c r="AS587" s="76"/>
      <c r="AT587" s="76"/>
      <c r="AU587" s="76"/>
      <c r="AV587" s="76"/>
      <c r="AW587" s="79"/>
      <c r="AX587" s="79"/>
      <c r="AY587" s="79"/>
      <c r="AZ587" s="79"/>
      <c r="BA587" s="79"/>
      <c r="BB587" s="11"/>
      <c r="BC587" s="11"/>
      <c r="BD587" s="11"/>
      <c r="BE587" s="73"/>
      <c r="BF587" s="73"/>
      <c r="BG587" s="73"/>
      <c r="BH587" s="77"/>
      <c r="BI587" s="77"/>
      <c r="BJ587" s="77"/>
      <c r="BK587" s="77"/>
      <c r="BL587" s="77"/>
      <c r="BM587" s="77"/>
      <c r="BN587" s="158"/>
      <c r="BO587" s="158"/>
    </row>
    <row r="588" spans="1:67" ht="15" x14ac:dyDescent="0.25">
      <c r="A588" s="71"/>
      <c r="B588" s="11"/>
      <c r="C588" s="11"/>
      <c r="D588" s="11"/>
      <c r="E588" s="11"/>
      <c r="F588" s="11"/>
      <c r="G588" s="11"/>
      <c r="H588" s="11"/>
      <c r="I588" s="11"/>
      <c r="J588" s="249"/>
      <c r="K588" s="72"/>
      <c r="L588" s="73"/>
      <c r="M588" s="73"/>
      <c r="N588" s="74"/>
      <c r="O588" s="75"/>
      <c r="P588" s="73"/>
      <c r="Q588" s="76"/>
      <c r="R588" s="76"/>
      <c r="S588" s="76"/>
      <c r="T588" s="76"/>
      <c r="U588" s="76"/>
      <c r="V588" s="76"/>
      <c r="W588" s="76"/>
      <c r="X588" s="76"/>
      <c r="Y588" s="76"/>
      <c r="Z588" s="77"/>
      <c r="AA588" s="77"/>
      <c r="AB588" s="77"/>
      <c r="AC588" s="77"/>
      <c r="AD588" s="77"/>
      <c r="AE588" s="77"/>
      <c r="AF588" s="77"/>
      <c r="AG588" s="77"/>
      <c r="AH588" s="78"/>
      <c r="AI588" s="78"/>
      <c r="AJ588" s="78"/>
      <c r="AK588" s="78"/>
      <c r="AL588" s="78"/>
      <c r="AM588" s="78"/>
      <c r="AN588" s="76"/>
      <c r="AO588" s="76"/>
      <c r="AP588" s="76"/>
      <c r="AQ588" s="76"/>
      <c r="AR588" s="76"/>
      <c r="AS588" s="76"/>
      <c r="AT588" s="76"/>
      <c r="AU588" s="76"/>
      <c r="AV588" s="76"/>
      <c r="AW588" s="79"/>
      <c r="AX588" s="79"/>
      <c r="AY588" s="79"/>
      <c r="AZ588" s="79"/>
      <c r="BA588" s="79"/>
      <c r="BB588" s="11"/>
      <c r="BC588" s="11"/>
      <c r="BD588" s="11"/>
      <c r="BE588" s="73"/>
      <c r="BF588" s="73"/>
      <c r="BG588" s="73"/>
      <c r="BH588" s="77"/>
      <c r="BI588" s="77"/>
      <c r="BJ588" s="77"/>
      <c r="BK588" s="77"/>
      <c r="BL588" s="77"/>
      <c r="BM588" s="77"/>
      <c r="BN588" s="158"/>
      <c r="BO588" s="158"/>
    </row>
    <row r="589" spans="1:67" ht="15" x14ac:dyDescent="0.25">
      <c r="A589" s="71"/>
      <c r="B589" s="11"/>
      <c r="C589" s="11"/>
      <c r="D589" s="11"/>
      <c r="E589" s="11"/>
      <c r="F589" s="11"/>
      <c r="G589" s="11"/>
      <c r="H589" s="11"/>
      <c r="I589" s="11"/>
      <c r="J589" s="249"/>
      <c r="K589" s="72"/>
      <c r="L589" s="73"/>
      <c r="M589" s="73"/>
      <c r="N589" s="74"/>
      <c r="O589" s="75"/>
      <c r="P589" s="73"/>
      <c r="Q589" s="76"/>
      <c r="R589" s="76"/>
      <c r="S589" s="76"/>
      <c r="T589" s="76"/>
      <c r="U589" s="76"/>
      <c r="V589" s="76"/>
      <c r="W589" s="76"/>
      <c r="X589" s="76"/>
      <c r="Y589" s="76"/>
      <c r="Z589" s="77"/>
      <c r="AA589" s="77"/>
      <c r="AB589" s="77"/>
      <c r="AC589" s="77"/>
      <c r="AD589" s="77"/>
      <c r="AE589" s="77"/>
      <c r="AF589" s="77"/>
      <c r="AG589" s="77"/>
      <c r="AH589" s="78"/>
      <c r="AI589" s="78"/>
      <c r="AJ589" s="78"/>
      <c r="AK589" s="78"/>
      <c r="AL589" s="78"/>
      <c r="AM589" s="78"/>
      <c r="AN589" s="76"/>
      <c r="AO589" s="76"/>
      <c r="AP589" s="76"/>
      <c r="AQ589" s="76"/>
      <c r="AR589" s="76"/>
      <c r="AS589" s="76"/>
      <c r="AT589" s="76"/>
      <c r="AU589" s="76"/>
      <c r="AV589" s="76"/>
      <c r="AW589" s="79"/>
      <c r="AX589" s="79"/>
      <c r="AY589" s="79"/>
      <c r="AZ589" s="79"/>
      <c r="BA589" s="79"/>
      <c r="BB589" s="11"/>
      <c r="BC589" s="11"/>
      <c r="BD589" s="11"/>
      <c r="BE589" s="73"/>
      <c r="BF589" s="73"/>
      <c r="BG589" s="73"/>
      <c r="BH589" s="77"/>
      <c r="BI589" s="77"/>
      <c r="BJ589" s="77"/>
      <c r="BK589" s="77"/>
      <c r="BL589" s="77"/>
      <c r="BM589" s="77"/>
      <c r="BN589" s="158"/>
      <c r="BO589" s="158"/>
    </row>
    <row r="590" spans="1:67" ht="15" x14ac:dyDescent="0.25">
      <c r="A590" s="71"/>
      <c r="B590" s="11"/>
      <c r="C590" s="11"/>
      <c r="D590" s="11"/>
      <c r="E590" s="11"/>
      <c r="F590" s="11"/>
      <c r="G590" s="11"/>
      <c r="H590" s="11"/>
      <c r="I590" s="11"/>
      <c r="J590" s="249"/>
      <c r="K590" s="72"/>
      <c r="L590" s="73"/>
      <c r="M590" s="73"/>
      <c r="N590" s="74"/>
      <c r="O590" s="75"/>
      <c r="P590" s="73"/>
      <c r="Q590" s="76"/>
      <c r="R590" s="76"/>
      <c r="S590" s="76"/>
      <c r="T590" s="76"/>
      <c r="U590" s="76"/>
      <c r="V590" s="76"/>
      <c r="W590" s="76"/>
      <c r="X590" s="76"/>
      <c r="Y590" s="76"/>
      <c r="Z590" s="77"/>
      <c r="AA590" s="77"/>
      <c r="AB590" s="77"/>
      <c r="AC590" s="77"/>
      <c r="AD590" s="77"/>
      <c r="AE590" s="77"/>
      <c r="AF590" s="77"/>
      <c r="AG590" s="77"/>
      <c r="AH590" s="78"/>
      <c r="AI590" s="78"/>
      <c r="AJ590" s="78"/>
      <c r="AK590" s="78"/>
      <c r="AL590" s="78"/>
      <c r="AM590" s="78"/>
      <c r="AN590" s="76"/>
      <c r="AO590" s="76"/>
      <c r="AP590" s="76"/>
      <c r="AQ590" s="76"/>
      <c r="AR590" s="76"/>
      <c r="AS590" s="76"/>
      <c r="AT590" s="76"/>
      <c r="AU590" s="76"/>
      <c r="AV590" s="76"/>
      <c r="AW590" s="79"/>
      <c r="AX590" s="79"/>
      <c r="AY590" s="79"/>
      <c r="AZ590" s="79"/>
      <c r="BA590" s="79"/>
      <c r="BB590" s="11"/>
      <c r="BC590" s="11"/>
      <c r="BD590" s="11"/>
      <c r="BE590" s="73"/>
      <c r="BF590" s="73"/>
      <c r="BG590" s="73"/>
      <c r="BH590" s="77"/>
      <c r="BI590" s="77"/>
      <c r="BJ590" s="77"/>
      <c r="BK590" s="77"/>
      <c r="BL590" s="77"/>
      <c r="BM590" s="77"/>
      <c r="BN590" s="158"/>
      <c r="BO590" s="158"/>
    </row>
    <row r="591" spans="1:67" ht="15" x14ac:dyDescent="0.25">
      <c r="A591" s="71"/>
      <c r="B591" s="11"/>
      <c r="C591" s="11"/>
      <c r="D591" s="11"/>
      <c r="E591" s="11"/>
      <c r="F591" s="11"/>
      <c r="G591" s="11"/>
      <c r="H591" s="11"/>
      <c r="I591" s="11"/>
      <c r="J591" s="249"/>
      <c r="K591" s="72"/>
      <c r="L591" s="73"/>
      <c r="M591" s="73"/>
      <c r="N591" s="74"/>
      <c r="O591" s="75"/>
      <c r="P591" s="73"/>
      <c r="Q591" s="76"/>
      <c r="R591" s="76"/>
      <c r="S591" s="76"/>
      <c r="T591" s="76"/>
      <c r="U591" s="76"/>
      <c r="V591" s="76"/>
      <c r="W591" s="76"/>
      <c r="X591" s="76"/>
      <c r="Y591" s="76"/>
      <c r="Z591" s="77"/>
      <c r="AA591" s="77"/>
      <c r="AB591" s="77"/>
      <c r="AC591" s="77"/>
      <c r="AD591" s="77"/>
      <c r="AE591" s="77"/>
      <c r="AF591" s="77"/>
      <c r="AG591" s="77"/>
      <c r="AH591" s="78"/>
      <c r="AI591" s="78"/>
      <c r="AJ591" s="78"/>
      <c r="AK591" s="78"/>
      <c r="AL591" s="78"/>
      <c r="AM591" s="78"/>
      <c r="AN591" s="76"/>
      <c r="AO591" s="76"/>
      <c r="AP591" s="76"/>
      <c r="AQ591" s="76"/>
      <c r="AR591" s="76"/>
      <c r="AS591" s="76"/>
      <c r="AT591" s="76"/>
      <c r="AU591" s="76"/>
      <c r="AV591" s="76"/>
      <c r="AW591" s="79"/>
      <c r="AX591" s="79"/>
      <c r="AY591" s="79"/>
      <c r="AZ591" s="79"/>
      <c r="BA591" s="79"/>
      <c r="BB591" s="11"/>
      <c r="BC591" s="11"/>
      <c r="BD591" s="11"/>
      <c r="BE591" s="73"/>
      <c r="BF591" s="73"/>
      <c r="BG591" s="73"/>
      <c r="BH591" s="77"/>
      <c r="BI591" s="77"/>
      <c r="BJ591" s="77"/>
      <c r="BK591" s="77"/>
      <c r="BL591" s="77"/>
      <c r="BM591" s="77"/>
      <c r="BN591" s="158"/>
      <c r="BO591" s="158"/>
    </row>
    <row r="592" spans="1:67" ht="15" x14ac:dyDescent="0.25">
      <c r="A592" s="71"/>
      <c r="B592" s="11"/>
      <c r="C592" s="11"/>
      <c r="D592" s="11"/>
      <c r="E592" s="11"/>
      <c r="F592" s="11"/>
      <c r="G592" s="11"/>
      <c r="H592" s="11"/>
      <c r="I592" s="11"/>
      <c r="J592" s="249"/>
      <c r="K592" s="72"/>
      <c r="L592" s="73"/>
      <c r="M592" s="73"/>
      <c r="N592" s="74"/>
      <c r="O592" s="75"/>
      <c r="P592" s="73"/>
      <c r="Q592" s="76"/>
      <c r="R592" s="76"/>
      <c r="S592" s="76"/>
      <c r="T592" s="76"/>
      <c r="U592" s="76"/>
      <c r="V592" s="76"/>
      <c r="W592" s="76"/>
      <c r="X592" s="76"/>
      <c r="Y592" s="76"/>
      <c r="Z592" s="77"/>
      <c r="AA592" s="77"/>
      <c r="AB592" s="77"/>
      <c r="AC592" s="77"/>
      <c r="AD592" s="77"/>
      <c r="AE592" s="77"/>
      <c r="AF592" s="77"/>
      <c r="AG592" s="77"/>
      <c r="AH592" s="78"/>
      <c r="AI592" s="78"/>
      <c r="AJ592" s="78"/>
      <c r="AK592" s="78"/>
      <c r="AL592" s="78"/>
      <c r="AM592" s="78"/>
      <c r="AN592" s="76"/>
      <c r="AO592" s="76"/>
      <c r="AP592" s="76"/>
      <c r="AQ592" s="76"/>
      <c r="AR592" s="76"/>
      <c r="AS592" s="76"/>
      <c r="AT592" s="76"/>
      <c r="AU592" s="76"/>
      <c r="AV592" s="76"/>
      <c r="AW592" s="79"/>
      <c r="AX592" s="79"/>
      <c r="AY592" s="79"/>
      <c r="AZ592" s="79"/>
      <c r="BA592" s="79"/>
      <c r="BB592" s="11"/>
      <c r="BC592" s="11"/>
      <c r="BD592" s="11"/>
      <c r="BE592" s="73"/>
      <c r="BF592" s="73"/>
      <c r="BG592" s="73"/>
      <c r="BH592" s="77"/>
      <c r="BI592" s="77"/>
      <c r="BJ592" s="77"/>
      <c r="BK592" s="77"/>
      <c r="BL592" s="77"/>
      <c r="BM592" s="77"/>
      <c r="BN592" s="158"/>
      <c r="BO592" s="158"/>
    </row>
    <row r="593" spans="1:67" ht="15" x14ac:dyDescent="0.25">
      <c r="A593" s="71"/>
      <c r="B593" s="11"/>
      <c r="C593" s="11"/>
      <c r="D593" s="11"/>
      <c r="E593" s="11"/>
      <c r="F593" s="11"/>
      <c r="G593" s="11"/>
      <c r="H593" s="11"/>
      <c r="I593" s="11"/>
      <c r="J593" s="249"/>
      <c r="K593" s="72"/>
      <c r="L593" s="73"/>
      <c r="M593" s="73"/>
      <c r="N593" s="74"/>
      <c r="O593" s="75"/>
      <c r="P593" s="73"/>
      <c r="Q593" s="76"/>
      <c r="R593" s="76"/>
      <c r="S593" s="76"/>
      <c r="T593" s="76"/>
      <c r="U593" s="76"/>
      <c r="V593" s="76"/>
      <c r="W593" s="76"/>
      <c r="X593" s="76"/>
      <c r="Y593" s="76"/>
      <c r="Z593" s="77"/>
      <c r="AA593" s="77"/>
      <c r="AB593" s="77"/>
      <c r="AC593" s="77"/>
      <c r="AD593" s="77"/>
      <c r="AE593" s="77"/>
      <c r="AF593" s="77"/>
      <c r="AG593" s="77"/>
      <c r="AH593" s="78"/>
      <c r="AI593" s="78"/>
      <c r="AJ593" s="78"/>
      <c r="AK593" s="78"/>
      <c r="AL593" s="78"/>
      <c r="AM593" s="78"/>
      <c r="AN593" s="76"/>
      <c r="AO593" s="76"/>
      <c r="AP593" s="76"/>
      <c r="AQ593" s="76"/>
      <c r="AR593" s="76"/>
      <c r="AS593" s="76"/>
      <c r="AT593" s="76"/>
      <c r="AU593" s="76"/>
      <c r="AV593" s="76"/>
      <c r="AW593" s="79"/>
      <c r="AX593" s="79"/>
      <c r="AY593" s="79"/>
      <c r="AZ593" s="79"/>
      <c r="BA593" s="79"/>
      <c r="BB593" s="11"/>
      <c r="BC593" s="11"/>
      <c r="BD593" s="11"/>
      <c r="BE593" s="73"/>
      <c r="BF593" s="73"/>
      <c r="BG593" s="73"/>
      <c r="BH593" s="77"/>
      <c r="BI593" s="77"/>
      <c r="BJ593" s="77"/>
      <c r="BK593" s="77"/>
      <c r="BL593" s="77"/>
      <c r="BM593" s="77"/>
      <c r="BN593" s="158"/>
      <c r="BO593" s="158"/>
    </row>
    <row r="594" spans="1:67" ht="15" x14ac:dyDescent="0.25">
      <c r="A594" s="71"/>
      <c r="B594" s="11"/>
      <c r="C594" s="11"/>
      <c r="D594" s="11"/>
      <c r="E594" s="11"/>
      <c r="F594" s="11"/>
      <c r="G594" s="11"/>
      <c r="H594" s="11"/>
      <c r="I594" s="11"/>
      <c r="J594" s="249"/>
      <c r="K594" s="72"/>
      <c r="L594" s="73"/>
      <c r="M594" s="73"/>
      <c r="N594" s="74"/>
      <c r="O594" s="75"/>
      <c r="P594" s="73"/>
      <c r="Q594" s="76"/>
      <c r="R594" s="76"/>
      <c r="S594" s="76"/>
      <c r="T594" s="76"/>
      <c r="U594" s="76"/>
      <c r="V594" s="76"/>
      <c r="W594" s="76"/>
      <c r="X594" s="76"/>
      <c r="Y594" s="76"/>
      <c r="Z594" s="77"/>
      <c r="AA594" s="77"/>
      <c r="AB594" s="77"/>
      <c r="AC594" s="77"/>
      <c r="AD594" s="77"/>
      <c r="AE594" s="77"/>
      <c r="AF594" s="77"/>
      <c r="AG594" s="77"/>
      <c r="AH594" s="78"/>
      <c r="AI594" s="78"/>
      <c r="AJ594" s="78"/>
      <c r="AK594" s="78"/>
      <c r="AL594" s="78"/>
      <c r="AM594" s="78"/>
      <c r="AN594" s="76"/>
      <c r="AO594" s="76"/>
      <c r="AP594" s="76"/>
      <c r="AQ594" s="76"/>
      <c r="AR594" s="76"/>
      <c r="AS594" s="76"/>
      <c r="AT594" s="76"/>
      <c r="AU594" s="76"/>
      <c r="AV594" s="76"/>
      <c r="AW594" s="79"/>
      <c r="AX594" s="79"/>
      <c r="AY594" s="79"/>
      <c r="AZ594" s="79"/>
      <c r="BA594" s="79"/>
      <c r="BB594" s="11"/>
      <c r="BC594" s="11"/>
      <c r="BD594" s="11"/>
      <c r="BE594" s="73"/>
      <c r="BF594" s="73"/>
      <c r="BG594" s="73"/>
      <c r="BH594" s="77"/>
      <c r="BI594" s="77"/>
      <c r="BJ594" s="77"/>
      <c r="BK594" s="77"/>
      <c r="BL594" s="77"/>
      <c r="BM594" s="77"/>
      <c r="BN594" s="158"/>
      <c r="BO594" s="158"/>
    </row>
    <row r="595" spans="1:67" ht="15" x14ac:dyDescent="0.25">
      <c r="A595" s="71"/>
      <c r="B595" s="11"/>
      <c r="C595" s="11"/>
      <c r="D595" s="11"/>
      <c r="E595" s="11"/>
      <c r="F595" s="11"/>
      <c r="G595" s="11"/>
      <c r="H595" s="11"/>
      <c r="I595" s="11"/>
      <c r="J595" s="249"/>
      <c r="K595" s="72"/>
      <c r="L595" s="73"/>
      <c r="M595" s="73"/>
      <c r="N595" s="74"/>
      <c r="O595" s="75"/>
      <c r="P595" s="73"/>
      <c r="Q595" s="76"/>
      <c r="R595" s="76"/>
      <c r="S595" s="76"/>
      <c r="T595" s="76"/>
      <c r="U595" s="76"/>
      <c r="V595" s="76"/>
      <c r="W595" s="76"/>
      <c r="X595" s="76"/>
      <c r="Y595" s="76"/>
      <c r="Z595" s="77"/>
      <c r="AA595" s="77"/>
      <c r="AB595" s="77"/>
      <c r="AC595" s="77"/>
      <c r="AD595" s="77"/>
      <c r="AE595" s="77"/>
      <c r="AF595" s="77"/>
      <c r="AG595" s="77"/>
      <c r="AH595" s="78"/>
      <c r="AI595" s="78"/>
      <c r="AJ595" s="78"/>
      <c r="AK595" s="78"/>
      <c r="AL595" s="78"/>
      <c r="AM595" s="78"/>
      <c r="AN595" s="76"/>
      <c r="AO595" s="76"/>
      <c r="AP595" s="76"/>
      <c r="AQ595" s="76"/>
      <c r="AR595" s="76"/>
      <c r="AS595" s="76"/>
      <c r="AT595" s="76"/>
      <c r="AU595" s="76"/>
      <c r="AV595" s="76"/>
      <c r="AW595" s="79"/>
      <c r="AX595" s="79"/>
      <c r="AY595" s="79"/>
      <c r="AZ595" s="79"/>
      <c r="BA595" s="79"/>
      <c r="BB595" s="11"/>
      <c r="BC595" s="11"/>
      <c r="BD595" s="11"/>
      <c r="BE595" s="73"/>
      <c r="BF595" s="73"/>
      <c r="BG595" s="73"/>
      <c r="BH595" s="77"/>
      <c r="BI595" s="77"/>
      <c r="BJ595" s="77"/>
      <c r="BK595" s="77"/>
      <c r="BL595" s="77"/>
      <c r="BM595" s="77"/>
      <c r="BN595" s="158"/>
      <c r="BO595" s="158"/>
    </row>
    <row r="596" spans="1:67" ht="15" x14ac:dyDescent="0.25">
      <c r="A596" s="71"/>
      <c r="B596" s="11"/>
      <c r="C596" s="11"/>
      <c r="D596" s="11"/>
      <c r="E596" s="11"/>
      <c r="F596" s="11"/>
      <c r="G596" s="11"/>
      <c r="H596" s="11"/>
      <c r="I596" s="11"/>
      <c r="J596" s="249"/>
      <c r="K596" s="72"/>
      <c r="L596" s="73"/>
      <c r="M596" s="73"/>
      <c r="N596" s="74"/>
      <c r="O596" s="75"/>
      <c r="P596" s="73"/>
      <c r="Q596" s="76"/>
      <c r="R596" s="76"/>
      <c r="S596" s="76"/>
      <c r="T596" s="76"/>
      <c r="U596" s="76"/>
      <c r="V596" s="76"/>
      <c r="W596" s="76"/>
      <c r="X596" s="76"/>
      <c r="Y596" s="76"/>
      <c r="Z596" s="77"/>
      <c r="AA596" s="77"/>
      <c r="AB596" s="77"/>
      <c r="AC596" s="77"/>
      <c r="AD596" s="77"/>
      <c r="AE596" s="77"/>
      <c r="AF596" s="77"/>
      <c r="AG596" s="77"/>
      <c r="AH596" s="78"/>
      <c r="AI596" s="78"/>
      <c r="AJ596" s="78"/>
      <c r="AK596" s="78"/>
      <c r="AL596" s="78"/>
      <c r="AM596" s="78"/>
      <c r="AN596" s="76"/>
      <c r="AO596" s="76"/>
      <c r="AP596" s="76"/>
      <c r="AQ596" s="76"/>
      <c r="AR596" s="76"/>
      <c r="AS596" s="76"/>
      <c r="AT596" s="76"/>
      <c r="AU596" s="76"/>
      <c r="AV596" s="76"/>
      <c r="AW596" s="79"/>
      <c r="AX596" s="79"/>
      <c r="AY596" s="79"/>
      <c r="AZ596" s="79"/>
      <c r="BA596" s="79"/>
      <c r="BB596" s="11"/>
      <c r="BC596" s="11"/>
      <c r="BD596" s="11"/>
      <c r="BE596" s="73"/>
      <c r="BF596" s="73"/>
      <c r="BG596" s="73"/>
      <c r="BH596" s="77"/>
      <c r="BI596" s="77"/>
      <c r="BJ596" s="77"/>
      <c r="BK596" s="77"/>
      <c r="BL596" s="77"/>
      <c r="BM596" s="77"/>
      <c r="BN596" s="158"/>
      <c r="BO596" s="158"/>
    </row>
    <row r="597" spans="1:67" ht="15" x14ac:dyDescent="0.25">
      <c r="A597" s="71"/>
      <c r="B597" s="11"/>
      <c r="C597" s="11"/>
      <c r="D597" s="11"/>
      <c r="E597" s="11"/>
      <c r="F597" s="11"/>
      <c r="G597" s="11"/>
      <c r="H597" s="11"/>
      <c r="I597" s="11"/>
      <c r="J597" s="249"/>
      <c r="K597" s="72"/>
      <c r="L597" s="73"/>
      <c r="M597" s="73"/>
      <c r="N597" s="74"/>
      <c r="O597" s="75"/>
      <c r="P597" s="73"/>
      <c r="Q597" s="76"/>
      <c r="R597" s="76"/>
      <c r="S597" s="76"/>
      <c r="T597" s="76"/>
      <c r="U597" s="76"/>
      <c r="V597" s="76"/>
      <c r="W597" s="76"/>
      <c r="X597" s="76"/>
      <c r="Y597" s="76"/>
      <c r="Z597" s="77"/>
      <c r="AA597" s="77"/>
      <c r="AB597" s="77"/>
      <c r="AC597" s="77"/>
      <c r="AD597" s="77"/>
      <c r="AE597" s="77"/>
      <c r="AF597" s="77"/>
      <c r="AG597" s="77"/>
      <c r="AH597" s="78"/>
      <c r="AI597" s="78"/>
      <c r="AJ597" s="78"/>
      <c r="AK597" s="78"/>
      <c r="AL597" s="78"/>
      <c r="AM597" s="78"/>
      <c r="AN597" s="76"/>
      <c r="AO597" s="76"/>
      <c r="AP597" s="76"/>
      <c r="AQ597" s="76"/>
      <c r="AR597" s="76"/>
      <c r="AS597" s="76"/>
      <c r="AT597" s="76"/>
      <c r="AU597" s="76"/>
      <c r="AV597" s="76"/>
      <c r="AW597" s="79"/>
      <c r="AX597" s="79"/>
      <c r="AY597" s="79"/>
      <c r="AZ597" s="79"/>
      <c r="BA597" s="79"/>
      <c r="BB597" s="11"/>
      <c r="BC597" s="11"/>
      <c r="BD597" s="11"/>
      <c r="BE597" s="73"/>
      <c r="BF597" s="73"/>
      <c r="BG597" s="73"/>
      <c r="BH597" s="77"/>
      <c r="BI597" s="77"/>
      <c r="BJ597" s="77"/>
      <c r="BK597" s="77"/>
      <c r="BL597" s="77"/>
      <c r="BM597" s="77"/>
      <c r="BN597" s="158"/>
      <c r="BO597" s="158"/>
    </row>
    <row r="598" spans="1:67" ht="15" x14ac:dyDescent="0.25">
      <c r="A598" s="71"/>
      <c r="B598" s="11"/>
      <c r="C598" s="11"/>
      <c r="D598" s="11"/>
      <c r="E598" s="11"/>
      <c r="F598" s="11"/>
      <c r="G598" s="11"/>
      <c r="H598" s="11"/>
      <c r="I598" s="11"/>
      <c r="J598" s="249"/>
      <c r="K598" s="72"/>
      <c r="L598" s="73"/>
      <c r="M598" s="73"/>
      <c r="N598" s="74"/>
      <c r="O598" s="75"/>
      <c r="P598" s="73"/>
      <c r="Q598" s="76"/>
      <c r="R598" s="76"/>
      <c r="S598" s="76"/>
      <c r="T598" s="76"/>
      <c r="U598" s="76"/>
      <c r="V598" s="76"/>
      <c r="W598" s="76"/>
      <c r="X598" s="76"/>
      <c r="Y598" s="76"/>
      <c r="Z598" s="77"/>
      <c r="AA598" s="77"/>
      <c r="AB598" s="77"/>
      <c r="AC598" s="77"/>
      <c r="AD598" s="77"/>
      <c r="AE598" s="77"/>
      <c r="AF598" s="77"/>
      <c r="AG598" s="77"/>
      <c r="AH598" s="78"/>
      <c r="AI598" s="78"/>
      <c r="AJ598" s="78"/>
      <c r="AK598" s="78"/>
      <c r="AL598" s="78"/>
      <c r="AM598" s="78"/>
      <c r="AN598" s="76"/>
      <c r="AO598" s="76"/>
      <c r="AP598" s="76"/>
      <c r="AQ598" s="76"/>
      <c r="AR598" s="76"/>
      <c r="AS598" s="76"/>
      <c r="AT598" s="76"/>
      <c r="AU598" s="76"/>
      <c r="AV598" s="76"/>
      <c r="AW598" s="79"/>
      <c r="AX598" s="79"/>
      <c r="AY598" s="79"/>
      <c r="AZ598" s="79"/>
      <c r="BA598" s="79"/>
      <c r="BB598" s="11"/>
      <c r="BC598" s="11"/>
      <c r="BD598" s="11"/>
      <c r="BE598" s="73"/>
      <c r="BF598" s="73"/>
      <c r="BG598" s="73"/>
      <c r="BH598" s="77"/>
      <c r="BI598" s="77"/>
      <c r="BJ598" s="77"/>
      <c r="BK598" s="77"/>
      <c r="BL598" s="77"/>
      <c r="BM598" s="77"/>
      <c r="BN598" s="158"/>
      <c r="BO598" s="158"/>
    </row>
    <row r="599" spans="1:67" ht="15" x14ac:dyDescent="0.25">
      <c r="A599" s="71"/>
      <c r="B599" s="11"/>
      <c r="C599" s="11"/>
      <c r="D599" s="11"/>
      <c r="E599" s="11"/>
      <c r="F599" s="11"/>
      <c r="G599" s="11"/>
      <c r="H599" s="11"/>
      <c r="I599" s="11"/>
      <c r="J599" s="249"/>
      <c r="K599" s="72"/>
      <c r="L599" s="73"/>
      <c r="M599" s="73"/>
      <c r="N599" s="74"/>
      <c r="O599" s="75"/>
      <c r="P599" s="73"/>
      <c r="Q599" s="76"/>
      <c r="R599" s="76"/>
      <c r="S599" s="76"/>
      <c r="T599" s="76"/>
      <c r="U599" s="76"/>
      <c r="V599" s="76"/>
      <c r="W599" s="76"/>
      <c r="X599" s="76"/>
      <c r="Y599" s="76"/>
      <c r="Z599" s="77"/>
      <c r="AA599" s="77"/>
      <c r="AB599" s="77"/>
      <c r="AC599" s="77"/>
      <c r="AD599" s="77"/>
      <c r="AE599" s="77"/>
      <c r="AF599" s="77"/>
      <c r="AG599" s="77"/>
      <c r="AH599" s="78"/>
      <c r="AI599" s="78"/>
      <c r="AJ599" s="78"/>
      <c r="AK599" s="78"/>
      <c r="AL599" s="78"/>
      <c r="AM599" s="78"/>
      <c r="AN599" s="76"/>
      <c r="AO599" s="76"/>
      <c r="AP599" s="76"/>
      <c r="AQ599" s="76"/>
      <c r="AR599" s="76"/>
      <c r="AS599" s="76"/>
      <c r="AT599" s="76"/>
      <c r="AU599" s="76"/>
      <c r="AV599" s="76"/>
      <c r="AW599" s="79"/>
      <c r="AX599" s="79"/>
      <c r="AY599" s="79"/>
      <c r="AZ599" s="79"/>
      <c r="BA599" s="79"/>
      <c r="BB599" s="11"/>
      <c r="BC599" s="11"/>
      <c r="BD599" s="11"/>
      <c r="BE599" s="73"/>
      <c r="BF599" s="73"/>
      <c r="BG599" s="73"/>
      <c r="BH599" s="77"/>
      <c r="BI599" s="77"/>
      <c r="BJ599" s="77"/>
      <c r="BK599" s="77"/>
      <c r="BL599" s="77"/>
      <c r="BM599" s="77"/>
      <c r="BN599" s="158"/>
      <c r="BO599" s="158"/>
    </row>
    <row r="600" spans="1:67" ht="15" x14ac:dyDescent="0.25">
      <c r="A600" s="71"/>
      <c r="B600" s="11"/>
      <c r="C600" s="11"/>
      <c r="D600" s="11"/>
      <c r="E600" s="11"/>
      <c r="F600" s="11"/>
      <c r="G600" s="11"/>
      <c r="H600" s="11"/>
      <c r="I600" s="11"/>
      <c r="J600" s="249"/>
      <c r="K600" s="72"/>
      <c r="L600" s="73"/>
      <c r="M600" s="73"/>
      <c r="N600" s="74"/>
      <c r="O600" s="75"/>
      <c r="P600" s="73"/>
      <c r="Q600" s="76"/>
      <c r="R600" s="76"/>
      <c r="S600" s="76"/>
      <c r="T600" s="76"/>
      <c r="U600" s="76"/>
      <c r="V600" s="76"/>
      <c r="W600" s="76"/>
      <c r="X600" s="76"/>
      <c r="Y600" s="76"/>
      <c r="Z600" s="77"/>
      <c r="AA600" s="77"/>
      <c r="AB600" s="77"/>
      <c r="AC600" s="77"/>
      <c r="AD600" s="77"/>
      <c r="AE600" s="77"/>
      <c r="AF600" s="77"/>
      <c r="AG600" s="77"/>
      <c r="AH600" s="78"/>
      <c r="AI600" s="78"/>
      <c r="AJ600" s="78"/>
      <c r="AK600" s="78"/>
      <c r="AL600" s="78"/>
      <c r="AM600" s="78"/>
      <c r="AN600" s="76"/>
      <c r="AO600" s="76"/>
      <c r="AP600" s="76"/>
      <c r="AQ600" s="76"/>
      <c r="AR600" s="76"/>
      <c r="AS600" s="76"/>
      <c r="AT600" s="76"/>
      <c r="AU600" s="76"/>
      <c r="AV600" s="76"/>
      <c r="AW600" s="79"/>
      <c r="AX600" s="79"/>
      <c r="AY600" s="79"/>
      <c r="AZ600" s="79"/>
      <c r="BA600" s="79"/>
      <c r="BB600" s="11"/>
      <c r="BC600" s="11"/>
      <c r="BD600" s="11"/>
      <c r="BE600" s="73"/>
      <c r="BF600" s="73"/>
      <c r="BG600" s="73"/>
      <c r="BH600" s="77"/>
      <c r="BI600" s="77"/>
      <c r="BJ600" s="77"/>
      <c r="BK600" s="77"/>
      <c r="BL600" s="77"/>
      <c r="BM600" s="77"/>
      <c r="BN600" s="158"/>
      <c r="BO600" s="158"/>
    </row>
    <row r="601" spans="1:67" ht="15" x14ac:dyDescent="0.25">
      <c r="A601" s="71"/>
      <c r="B601" s="11"/>
      <c r="C601" s="11"/>
      <c r="D601" s="11"/>
      <c r="E601" s="11"/>
      <c r="F601" s="11"/>
      <c r="G601" s="11"/>
      <c r="H601" s="11"/>
      <c r="I601" s="11"/>
      <c r="J601" s="249"/>
      <c r="K601" s="72"/>
      <c r="L601" s="73"/>
      <c r="M601" s="73"/>
      <c r="N601" s="74"/>
      <c r="O601" s="75"/>
      <c r="P601" s="73"/>
      <c r="Q601" s="76"/>
      <c r="R601" s="76"/>
      <c r="S601" s="76"/>
      <c r="T601" s="76"/>
      <c r="U601" s="76"/>
      <c r="V601" s="76"/>
      <c r="W601" s="76"/>
      <c r="X601" s="76"/>
      <c r="Y601" s="76"/>
      <c r="Z601" s="77"/>
      <c r="AA601" s="77"/>
      <c r="AB601" s="77"/>
      <c r="AC601" s="77"/>
      <c r="AD601" s="77"/>
      <c r="AE601" s="77"/>
      <c r="AF601" s="77"/>
      <c r="AG601" s="77"/>
      <c r="AH601" s="78"/>
      <c r="AI601" s="78"/>
      <c r="AJ601" s="78"/>
      <c r="AK601" s="78"/>
      <c r="AL601" s="78"/>
      <c r="AM601" s="78"/>
      <c r="AN601" s="76"/>
      <c r="AO601" s="76"/>
      <c r="AP601" s="76"/>
      <c r="AQ601" s="76"/>
      <c r="AR601" s="76"/>
      <c r="AS601" s="76"/>
      <c r="AT601" s="76"/>
      <c r="AU601" s="76"/>
      <c r="AV601" s="76"/>
      <c r="AW601" s="79"/>
      <c r="AX601" s="79"/>
      <c r="AY601" s="79"/>
      <c r="AZ601" s="79"/>
      <c r="BA601" s="79"/>
      <c r="BB601" s="11"/>
      <c r="BC601" s="11"/>
      <c r="BD601" s="11"/>
      <c r="BE601" s="73"/>
      <c r="BF601" s="73"/>
      <c r="BG601" s="73"/>
      <c r="BH601" s="77"/>
      <c r="BI601" s="77"/>
      <c r="BJ601" s="77"/>
      <c r="BK601" s="77"/>
      <c r="BL601" s="77"/>
      <c r="BM601" s="77"/>
      <c r="BN601" s="158"/>
      <c r="BO601" s="158"/>
    </row>
    <row r="602" spans="1:67" ht="15" x14ac:dyDescent="0.25">
      <c r="A602" s="71"/>
      <c r="B602" s="11"/>
      <c r="C602" s="11"/>
      <c r="D602" s="11"/>
      <c r="E602" s="11"/>
      <c r="F602" s="11"/>
      <c r="G602" s="11"/>
      <c r="H602" s="11"/>
      <c r="I602" s="11"/>
      <c r="J602" s="249"/>
      <c r="K602" s="72"/>
      <c r="L602" s="73"/>
      <c r="M602" s="73"/>
      <c r="N602" s="74"/>
      <c r="O602" s="75"/>
      <c r="P602" s="73"/>
      <c r="Q602" s="76"/>
      <c r="R602" s="76"/>
      <c r="S602" s="76"/>
      <c r="T602" s="76"/>
      <c r="U602" s="76"/>
      <c r="V602" s="76"/>
      <c r="W602" s="76"/>
      <c r="X602" s="76"/>
      <c r="Y602" s="76"/>
      <c r="Z602" s="77"/>
      <c r="AA602" s="77"/>
      <c r="AB602" s="77"/>
      <c r="AC602" s="77"/>
      <c r="AD602" s="77"/>
      <c r="AE602" s="77"/>
      <c r="AF602" s="77"/>
      <c r="AG602" s="77"/>
      <c r="AH602" s="78"/>
      <c r="AI602" s="78"/>
      <c r="AJ602" s="78"/>
      <c r="AK602" s="78"/>
      <c r="AL602" s="78"/>
      <c r="AM602" s="78"/>
      <c r="AN602" s="76"/>
      <c r="AO602" s="76"/>
      <c r="AP602" s="76"/>
      <c r="AQ602" s="76"/>
      <c r="AR602" s="76"/>
      <c r="AS602" s="76"/>
      <c r="AT602" s="76"/>
      <c r="AU602" s="76"/>
      <c r="AV602" s="76"/>
      <c r="AW602" s="79"/>
      <c r="AX602" s="79"/>
      <c r="AY602" s="79"/>
      <c r="AZ602" s="79"/>
      <c r="BA602" s="79"/>
      <c r="BB602" s="11"/>
      <c r="BC602" s="11"/>
      <c r="BD602" s="11"/>
      <c r="BE602" s="73"/>
      <c r="BF602" s="73"/>
      <c r="BG602" s="73"/>
      <c r="BH602" s="77"/>
      <c r="BI602" s="77"/>
      <c r="BJ602" s="77"/>
      <c r="BK602" s="77"/>
      <c r="BL602" s="77"/>
      <c r="BM602" s="77"/>
      <c r="BN602" s="158"/>
      <c r="BO602" s="158"/>
    </row>
    <row r="603" spans="1:67" ht="15" x14ac:dyDescent="0.25">
      <c r="A603" s="71"/>
      <c r="B603" s="11"/>
      <c r="C603" s="11"/>
      <c r="D603" s="11"/>
      <c r="E603" s="11"/>
      <c r="F603" s="11"/>
      <c r="G603" s="11"/>
      <c r="H603" s="11"/>
      <c r="I603" s="11"/>
      <c r="J603" s="249"/>
      <c r="K603" s="72"/>
      <c r="L603" s="73"/>
      <c r="M603" s="73"/>
      <c r="N603" s="74"/>
      <c r="O603" s="75"/>
      <c r="P603" s="73"/>
      <c r="Q603" s="76"/>
      <c r="R603" s="76"/>
      <c r="S603" s="76"/>
      <c r="T603" s="76"/>
      <c r="U603" s="76"/>
      <c r="V603" s="76"/>
      <c r="W603" s="76"/>
      <c r="X603" s="76"/>
      <c r="Y603" s="76"/>
      <c r="Z603" s="77"/>
      <c r="AA603" s="77"/>
      <c r="AB603" s="77"/>
      <c r="AC603" s="77"/>
      <c r="AD603" s="77"/>
      <c r="AE603" s="77"/>
      <c r="AF603" s="77"/>
      <c r="AG603" s="77"/>
      <c r="AH603" s="78"/>
      <c r="AI603" s="78"/>
      <c r="AJ603" s="78"/>
      <c r="AK603" s="78"/>
      <c r="AL603" s="78"/>
      <c r="AM603" s="78"/>
      <c r="AN603" s="76"/>
      <c r="AO603" s="76"/>
      <c r="AP603" s="76"/>
      <c r="AQ603" s="76"/>
      <c r="AR603" s="76"/>
      <c r="AS603" s="76"/>
      <c r="AT603" s="76"/>
      <c r="AU603" s="76"/>
      <c r="AV603" s="76"/>
      <c r="AW603" s="79"/>
      <c r="AX603" s="79"/>
      <c r="AY603" s="79"/>
      <c r="AZ603" s="79"/>
      <c r="BA603" s="79"/>
      <c r="BB603" s="11"/>
      <c r="BC603" s="11"/>
      <c r="BD603" s="11"/>
      <c r="BE603" s="73"/>
      <c r="BF603" s="73"/>
      <c r="BG603" s="73"/>
      <c r="BH603" s="77"/>
      <c r="BI603" s="77"/>
      <c r="BJ603" s="77"/>
      <c r="BK603" s="77"/>
      <c r="BL603" s="77"/>
      <c r="BM603" s="77"/>
      <c r="BN603" s="158"/>
      <c r="BO603" s="158"/>
    </row>
    <row r="604" spans="1:67" ht="15" x14ac:dyDescent="0.25">
      <c r="A604" s="71"/>
      <c r="B604" s="11"/>
      <c r="C604" s="11"/>
      <c r="D604" s="11"/>
      <c r="E604" s="11"/>
      <c r="F604" s="11"/>
      <c r="G604" s="11"/>
      <c r="H604" s="11"/>
      <c r="I604" s="11"/>
      <c r="J604" s="249"/>
      <c r="K604" s="72"/>
      <c r="L604" s="73"/>
      <c r="M604" s="73"/>
      <c r="N604" s="74"/>
      <c r="O604" s="75"/>
      <c r="P604" s="73"/>
      <c r="Q604" s="76"/>
      <c r="R604" s="76"/>
      <c r="S604" s="76"/>
      <c r="T604" s="76"/>
      <c r="U604" s="76"/>
      <c r="V604" s="76"/>
      <c r="W604" s="76"/>
      <c r="X604" s="76"/>
      <c r="Y604" s="76"/>
      <c r="Z604" s="77"/>
      <c r="AA604" s="77"/>
      <c r="AB604" s="77"/>
      <c r="AC604" s="77"/>
      <c r="AD604" s="77"/>
      <c r="AE604" s="77"/>
      <c r="AF604" s="77"/>
      <c r="AG604" s="77"/>
      <c r="AH604" s="78"/>
      <c r="AI604" s="78"/>
      <c r="AJ604" s="78"/>
      <c r="AK604" s="78"/>
      <c r="AL604" s="78"/>
      <c r="AM604" s="78"/>
      <c r="AN604" s="76"/>
      <c r="AO604" s="76"/>
      <c r="AP604" s="76"/>
      <c r="AQ604" s="76"/>
      <c r="AR604" s="76"/>
      <c r="AS604" s="76"/>
      <c r="AT604" s="76"/>
      <c r="AU604" s="76"/>
      <c r="AV604" s="76"/>
      <c r="AW604" s="79"/>
      <c r="AX604" s="79"/>
      <c r="AY604" s="79"/>
      <c r="AZ604" s="79"/>
      <c r="BA604" s="79"/>
      <c r="BB604" s="11"/>
      <c r="BC604" s="11"/>
      <c r="BD604" s="11"/>
      <c r="BE604" s="73"/>
      <c r="BF604" s="73"/>
      <c r="BG604" s="73"/>
      <c r="BH604" s="77"/>
      <c r="BI604" s="77"/>
      <c r="BJ604" s="77"/>
      <c r="BK604" s="77"/>
      <c r="BL604" s="77"/>
      <c r="BM604" s="77"/>
      <c r="BN604" s="158"/>
      <c r="BO604" s="158"/>
    </row>
    <row r="605" spans="1:67" ht="15" x14ac:dyDescent="0.25">
      <c r="A605" s="71"/>
      <c r="B605" s="11"/>
      <c r="C605" s="11"/>
      <c r="D605" s="11"/>
      <c r="E605" s="11"/>
      <c r="F605" s="11"/>
      <c r="G605" s="11"/>
      <c r="H605" s="11"/>
      <c r="I605" s="11"/>
      <c r="J605" s="249"/>
      <c r="K605" s="72"/>
      <c r="L605" s="73"/>
      <c r="M605" s="73"/>
      <c r="N605" s="74"/>
      <c r="O605" s="75"/>
      <c r="P605" s="73"/>
      <c r="Q605" s="76"/>
      <c r="R605" s="76"/>
      <c r="S605" s="76"/>
      <c r="T605" s="76"/>
      <c r="U605" s="76"/>
      <c r="V605" s="76"/>
      <c r="W605" s="76"/>
      <c r="X605" s="76"/>
      <c r="Y605" s="76"/>
      <c r="Z605" s="77"/>
      <c r="AA605" s="77"/>
      <c r="AB605" s="77"/>
      <c r="AC605" s="77"/>
      <c r="AD605" s="77"/>
      <c r="AE605" s="77"/>
      <c r="AF605" s="77"/>
      <c r="AG605" s="77"/>
      <c r="AH605" s="78"/>
      <c r="AI605" s="78"/>
      <c r="AJ605" s="78"/>
      <c r="AK605" s="78"/>
      <c r="AL605" s="78"/>
      <c r="AM605" s="78"/>
      <c r="AN605" s="76"/>
      <c r="AO605" s="76"/>
      <c r="AP605" s="76"/>
      <c r="AQ605" s="76"/>
      <c r="AR605" s="76"/>
      <c r="AS605" s="76"/>
      <c r="AT605" s="76"/>
      <c r="AU605" s="76"/>
      <c r="AV605" s="76"/>
      <c r="AW605" s="79"/>
      <c r="AX605" s="79"/>
      <c r="AY605" s="79"/>
      <c r="AZ605" s="79"/>
      <c r="BA605" s="79"/>
      <c r="BB605" s="11"/>
      <c r="BC605" s="11"/>
      <c r="BD605" s="11"/>
      <c r="BE605" s="73"/>
      <c r="BF605" s="73"/>
      <c r="BG605" s="73"/>
      <c r="BH605" s="77"/>
      <c r="BI605" s="77"/>
      <c r="BJ605" s="77"/>
      <c r="BK605" s="77"/>
      <c r="BL605" s="77"/>
      <c r="BM605" s="77"/>
      <c r="BN605" s="158"/>
      <c r="BO605" s="158"/>
    </row>
    <row r="606" spans="1:67" ht="15" x14ac:dyDescent="0.25">
      <c r="A606" s="71"/>
      <c r="B606" s="11"/>
      <c r="C606" s="11"/>
      <c r="D606" s="11"/>
      <c r="E606" s="11"/>
      <c r="F606" s="11"/>
      <c r="G606" s="11"/>
      <c r="H606" s="11"/>
      <c r="I606" s="11"/>
      <c r="J606" s="249"/>
      <c r="K606" s="72"/>
      <c r="L606" s="73"/>
      <c r="M606" s="73"/>
      <c r="N606" s="74"/>
      <c r="O606" s="75"/>
      <c r="P606" s="73"/>
      <c r="Q606" s="76"/>
      <c r="R606" s="76"/>
      <c r="S606" s="76"/>
      <c r="T606" s="76"/>
      <c r="U606" s="76"/>
      <c r="V606" s="76"/>
      <c r="W606" s="76"/>
      <c r="X606" s="76"/>
      <c r="Y606" s="76"/>
      <c r="Z606" s="77"/>
      <c r="AA606" s="77"/>
      <c r="AB606" s="77"/>
      <c r="AC606" s="77"/>
      <c r="AD606" s="77"/>
      <c r="AE606" s="77"/>
      <c r="AF606" s="77"/>
      <c r="AG606" s="77"/>
      <c r="AH606" s="78"/>
      <c r="AI606" s="78"/>
      <c r="AJ606" s="78"/>
      <c r="AK606" s="78"/>
      <c r="AL606" s="78"/>
      <c r="AM606" s="78"/>
      <c r="AN606" s="76"/>
      <c r="AO606" s="76"/>
      <c r="AP606" s="76"/>
      <c r="AQ606" s="76"/>
      <c r="AR606" s="76"/>
      <c r="AS606" s="76"/>
      <c r="AT606" s="76"/>
      <c r="AU606" s="76"/>
      <c r="AV606" s="76"/>
      <c r="AW606" s="79"/>
      <c r="AX606" s="79"/>
      <c r="AY606" s="79"/>
      <c r="AZ606" s="79"/>
      <c r="BA606" s="79"/>
      <c r="BB606" s="11"/>
      <c r="BC606" s="11"/>
      <c r="BD606" s="11"/>
      <c r="BE606" s="73"/>
      <c r="BF606" s="73"/>
      <c r="BG606" s="73"/>
      <c r="BH606" s="77"/>
      <c r="BI606" s="77"/>
      <c r="BJ606" s="77"/>
      <c r="BK606" s="77"/>
      <c r="BL606" s="77"/>
      <c r="BM606" s="77"/>
      <c r="BN606" s="158"/>
      <c r="BO606" s="158"/>
    </row>
    <row r="607" spans="1:67" ht="15" x14ac:dyDescent="0.25">
      <c r="A607" s="71"/>
      <c r="B607" s="11"/>
      <c r="C607" s="11"/>
      <c r="D607" s="11"/>
      <c r="E607" s="11"/>
      <c r="F607" s="11"/>
      <c r="G607" s="11"/>
      <c r="H607" s="11"/>
      <c r="I607" s="11"/>
      <c r="J607" s="249"/>
      <c r="K607" s="72"/>
      <c r="L607" s="73"/>
      <c r="M607" s="73"/>
      <c r="N607" s="74"/>
      <c r="O607" s="75"/>
      <c r="P607" s="73"/>
      <c r="Q607" s="76"/>
      <c r="R607" s="76"/>
      <c r="S607" s="76"/>
      <c r="T607" s="76"/>
      <c r="U607" s="76"/>
      <c r="V607" s="76"/>
      <c r="W607" s="76"/>
      <c r="X607" s="76"/>
      <c r="Y607" s="76"/>
      <c r="Z607" s="77"/>
      <c r="AA607" s="77"/>
      <c r="AB607" s="77"/>
      <c r="AC607" s="77"/>
      <c r="AD607" s="77"/>
      <c r="AE607" s="77"/>
      <c r="AF607" s="77"/>
      <c r="AG607" s="77"/>
      <c r="AH607" s="78"/>
      <c r="AI607" s="78"/>
      <c r="AJ607" s="78"/>
      <c r="AK607" s="78"/>
      <c r="AL607" s="78"/>
      <c r="AM607" s="78"/>
      <c r="AN607" s="76"/>
      <c r="AO607" s="76"/>
      <c r="AP607" s="76"/>
      <c r="AQ607" s="76"/>
      <c r="AR607" s="76"/>
      <c r="AS607" s="76"/>
      <c r="AT607" s="76"/>
      <c r="AU607" s="76"/>
      <c r="AV607" s="76"/>
      <c r="AW607" s="79"/>
      <c r="AX607" s="79"/>
      <c r="AY607" s="79"/>
      <c r="AZ607" s="79"/>
      <c r="BA607" s="79"/>
      <c r="BB607" s="11"/>
      <c r="BC607" s="11"/>
      <c r="BD607" s="11"/>
      <c r="BE607" s="73"/>
      <c r="BF607" s="73"/>
      <c r="BG607" s="73"/>
      <c r="BH607" s="77"/>
      <c r="BI607" s="77"/>
      <c r="BJ607" s="77"/>
      <c r="BK607" s="77"/>
      <c r="BL607" s="77"/>
      <c r="BM607" s="77"/>
      <c r="BN607" s="158"/>
      <c r="BO607" s="158"/>
    </row>
    <row r="608" spans="1:67" ht="15" x14ac:dyDescent="0.25">
      <c r="A608" s="71"/>
      <c r="B608" s="11"/>
      <c r="C608" s="11"/>
      <c r="D608" s="11"/>
      <c r="E608" s="11"/>
      <c r="F608" s="11"/>
      <c r="G608" s="11"/>
      <c r="H608" s="11"/>
      <c r="I608" s="11"/>
      <c r="J608" s="249"/>
      <c r="K608" s="72"/>
      <c r="L608" s="73"/>
      <c r="M608" s="73"/>
      <c r="N608" s="74"/>
      <c r="O608" s="75"/>
      <c r="P608" s="73"/>
      <c r="Q608" s="76"/>
      <c r="R608" s="76"/>
      <c r="S608" s="76"/>
      <c r="T608" s="76"/>
      <c r="U608" s="76"/>
      <c r="V608" s="76"/>
      <c r="W608" s="76"/>
      <c r="X608" s="76"/>
      <c r="Y608" s="76"/>
      <c r="Z608" s="77"/>
      <c r="AA608" s="77"/>
      <c r="AB608" s="77"/>
      <c r="AC608" s="77"/>
      <c r="AD608" s="77"/>
      <c r="AE608" s="77"/>
      <c r="AF608" s="77"/>
      <c r="AG608" s="77"/>
      <c r="AH608" s="78"/>
      <c r="AI608" s="78"/>
      <c r="AJ608" s="78"/>
      <c r="AK608" s="78"/>
      <c r="AL608" s="78"/>
      <c r="AM608" s="78"/>
      <c r="AN608" s="76"/>
      <c r="AO608" s="76"/>
      <c r="AP608" s="76"/>
      <c r="AQ608" s="76"/>
      <c r="AR608" s="76"/>
      <c r="AS608" s="76"/>
      <c r="AT608" s="76"/>
      <c r="AU608" s="76"/>
      <c r="AV608" s="76"/>
      <c r="AW608" s="79"/>
      <c r="AX608" s="79"/>
      <c r="AY608" s="79"/>
      <c r="AZ608" s="79"/>
      <c r="BA608" s="79"/>
      <c r="BB608" s="11"/>
      <c r="BC608" s="11"/>
      <c r="BD608" s="11"/>
      <c r="BE608" s="73"/>
      <c r="BF608" s="73"/>
      <c r="BG608" s="73"/>
      <c r="BH608" s="77"/>
      <c r="BI608" s="77"/>
      <c r="BJ608" s="77"/>
      <c r="BK608" s="77"/>
      <c r="BL608" s="77"/>
      <c r="BM608" s="77"/>
      <c r="BN608" s="158"/>
      <c r="BO608" s="158"/>
    </row>
    <row r="609" spans="1:67" ht="15" x14ac:dyDescent="0.25">
      <c r="A609" s="71"/>
      <c r="B609" s="11"/>
      <c r="C609" s="11"/>
      <c r="D609" s="11"/>
      <c r="E609" s="11"/>
      <c r="F609" s="11"/>
      <c r="G609" s="11"/>
      <c r="H609" s="11"/>
      <c r="I609" s="11"/>
      <c r="J609" s="249"/>
      <c r="K609" s="72"/>
      <c r="L609" s="73"/>
      <c r="M609" s="73"/>
      <c r="N609" s="74"/>
      <c r="O609" s="75"/>
      <c r="P609" s="73"/>
      <c r="Q609" s="76"/>
      <c r="R609" s="76"/>
      <c r="S609" s="76"/>
      <c r="T609" s="76"/>
      <c r="U609" s="76"/>
      <c r="V609" s="76"/>
      <c r="W609" s="76"/>
      <c r="X609" s="76"/>
      <c r="Y609" s="76"/>
      <c r="Z609" s="77"/>
      <c r="AA609" s="77"/>
      <c r="AB609" s="77"/>
      <c r="AC609" s="77"/>
      <c r="AD609" s="77"/>
      <c r="AE609" s="77"/>
      <c r="AF609" s="77"/>
      <c r="AG609" s="77"/>
      <c r="AH609" s="78"/>
      <c r="AI609" s="78"/>
      <c r="AJ609" s="78"/>
      <c r="AK609" s="78"/>
      <c r="AL609" s="78"/>
      <c r="AM609" s="78"/>
      <c r="AN609" s="76"/>
      <c r="AO609" s="76"/>
      <c r="AP609" s="76"/>
      <c r="AQ609" s="76"/>
      <c r="AR609" s="76"/>
      <c r="AS609" s="76"/>
      <c r="AT609" s="76"/>
      <c r="AU609" s="76"/>
      <c r="AV609" s="76"/>
      <c r="AW609" s="79"/>
      <c r="AX609" s="79"/>
      <c r="AY609" s="79"/>
      <c r="AZ609" s="79"/>
      <c r="BA609" s="79"/>
      <c r="BB609" s="11"/>
      <c r="BC609" s="11"/>
      <c r="BD609" s="11"/>
      <c r="BE609" s="73"/>
      <c r="BF609" s="73"/>
      <c r="BG609" s="73"/>
      <c r="BH609" s="77"/>
      <c r="BI609" s="77"/>
      <c r="BJ609" s="77"/>
      <c r="BK609" s="77"/>
      <c r="BL609" s="77"/>
      <c r="BM609" s="77"/>
      <c r="BN609" s="158"/>
      <c r="BO609" s="158"/>
    </row>
    <row r="610" spans="1:67" ht="15" x14ac:dyDescent="0.25">
      <c r="A610" s="71"/>
      <c r="B610" s="11"/>
      <c r="C610" s="11"/>
      <c r="D610" s="11"/>
      <c r="E610" s="11"/>
      <c r="F610" s="11"/>
      <c r="G610" s="11"/>
      <c r="H610" s="11"/>
      <c r="I610" s="11"/>
      <c r="J610" s="249"/>
      <c r="K610" s="72"/>
      <c r="L610" s="73"/>
      <c r="M610" s="73"/>
      <c r="N610" s="74"/>
      <c r="O610" s="75"/>
      <c r="P610" s="73"/>
      <c r="Q610" s="76"/>
      <c r="R610" s="76"/>
      <c r="S610" s="76"/>
      <c r="T610" s="76"/>
      <c r="U610" s="76"/>
      <c r="V610" s="76"/>
      <c r="W610" s="76"/>
      <c r="X610" s="76"/>
      <c r="Y610" s="76"/>
      <c r="Z610" s="77"/>
      <c r="AA610" s="77"/>
      <c r="AB610" s="77"/>
      <c r="AC610" s="77"/>
      <c r="AD610" s="77"/>
      <c r="AE610" s="77"/>
      <c r="AF610" s="77"/>
      <c r="AG610" s="77"/>
      <c r="AH610" s="78"/>
      <c r="AI610" s="78"/>
      <c r="AJ610" s="78"/>
      <c r="AK610" s="78"/>
      <c r="AL610" s="78"/>
      <c r="AM610" s="78"/>
      <c r="AN610" s="76"/>
      <c r="AO610" s="76"/>
      <c r="AP610" s="76"/>
      <c r="AQ610" s="76"/>
      <c r="AR610" s="76"/>
      <c r="AS610" s="76"/>
      <c r="AT610" s="76"/>
      <c r="AU610" s="76"/>
      <c r="AV610" s="76"/>
      <c r="AW610" s="79"/>
      <c r="AX610" s="79"/>
      <c r="AY610" s="79"/>
      <c r="AZ610" s="79"/>
      <c r="BA610" s="79"/>
      <c r="BB610" s="11"/>
      <c r="BC610" s="11"/>
      <c r="BD610" s="11"/>
      <c r="BE610" s="73"/>
      <c r="BF610" s="73"/>
      <c r="BG610" s="73"/>
      <c r="BH610" s="77"/>
      <c r="BI610" s="77"/>
      <c r="BJ610" s="77"/>
      <c r="BK610" s="77"/>
      <c r="BL610" s="77"/>
      <c r="BM610" s="77"/>
      <c r="BN610" s="158"/>
      <c r="BO610" s="158"/>
    </row>
    <row r="611" spans="1:67" ht="15" x14ac:dyDescent="0.25">
      <c r="A611" s="71"/>
      <c r="B611" s="11"/>
      <c r="C611" s="11"/>
      <c r="D611" s="11"/>
      <c r="E611" s="11"/>
      <c r="F611" s="11"/>
      <c r="G611" s="11"/>
      <c r="H611" s="11"/>
      <c r="I611" s="11"/>
      <c r="J611" s="249"/>
      <c r="K611" s="72"/>
      <c r="L611" s="73"/>
      <c r="M611" s="73"/>
      <c r="N611" s="74"/>
      <c r="O611" s="75"/>
      <c r="P611" s="73"/>
      <c r="Q611" s="76"/>
      <c r="R611" s="76"/>
      <c r="S611" s="76"/>
      <c r="T611" s="76"/>
      <c r="U611" s="76"/>
      <c r="V611" s="76"/>
      <c r="W611" s="76"/>
      <c r="X611" s="76"/>
      <c r="Y611" s="76"/>
      <c r="Z611" s="77"/>
      <c r="AA611" s="77"/>
      <c r="AB611" s="77"/>
      <c r="AC611" s="77"/>
      <c r="AD611" s="77"/>
      <c r="AE611" s="77"/>
      <c r="AF611" s="77"/>
      <c r="AG611" s="77"/>
      <c r="AH611" s="78"/>
      <c r="AI611" s="78"/>
      <c r="AJ611" s="78"/>
      <c r="AK611" s="78"/>
      <c r="AL611" s="78"/>
      <c r="AM611" s="78"/>
      <c r="AN611" s="76"/>
      <c r="AO611" s="76"/>
      <c r="AP611" s="76"/>
      <c r="AQ611" s="76"/>
      <c r="AR611" s="76"/>
      <c r="AS611" s="76"/>
      <c r="AT611" s="76"/>
      <c r="AU611" s="76"/>
      <c r="AV611" s="76"/>
      <c r="AW611" s="79"/>
      <c r="AX611" s="79"/>
      <c r="AY611" s="79"/>
      <c r="AZ611" s="79"/>
      <c r="BA611" s="79"/>
      <c r="BB611" s="11"/>
      <c r="BC611" s="11"/>
      <c r="BD611" s="11"/>
      <c r="BE611" s="73"/>
      <c r="BF611" s="73"/>
      <c r="BG611" s="73"/>
      <c r="BH611" s="77"/>
      <c r="BI611" s="77"/>
      <c r="BJ611" s="77"/>
      <c r="BK611" s="77"/>
      <c r="BL611" s="77"/>
      <c r="BM611" s="77"/>
      <c r="BN611" s="158"/>
      <c r="BO611" s="158"/>
    </row>
    <row r="612" spans="1:67" ht="15" x14ac:dyDescent="0.25">
      <c r="A612" s="71"/>
      <c r="B612" s="11"/>
      <c r="C612" s="11"/>
      <c r="D612" s="11"/>
      <c r="E612" s="11"/>
      <c r="F612" s="11"/>
      <c r="G612" s="11"/>
      <c r="H612" s="11"/>
      <c r="I612" s="11"/>
      <c r="J612" s="249"/>
      <c r="K612" s="72"/>
      <c r="L612" s="73"/>
      <c r="M612" s="73"/>
      <c r="N612" s="74"/>
      <c r="O612" s="75"/>
      <c r="P612" s="73"/>
      <c r="Q612" s="76"/>
      <c r="R612" s="76"/>
      <c r="S612" s="76"/>
      <c r="T612" s="76"/>
      <c r="U612" s="76"/>
      <c r="V612" s="76"/>
      <c r="W612" s="76"/>
      <c r="X612" s="76"/>
      <c r="Y612" s="76"/>
      <c r="Z612" s="77"/>
      <c r="AA612" s="77"/>
      <c r="AB612" s="77"/>
      <c r="AC612" s="77"/>
      <c r="AD612" s="77"/>
      <c r="AE612" s="77"/>
      <c r="AF612" s="77"/>
      <c r="AG612" s="77"/>
      <c r="AH612" s="78"/>
      <c r="AI612" s="78"/>
      <c r="AJ612" s="78"/>
      <c r="AK612" s="78"/>
      <c r="AL612" s="78"/>
      <c r="AM612" s="78"/>
      <c r="AN612" s="76"/>
      <c r="AO612" s="76"/>
      <c r="AP612" s="76"/>
      <c r="AQ612" s="76"/>
      <c r="AR612" s="76"/>
      <c r="AS612" s="76"/>
      <c r="AT612" s="76"/>
      <c r="AU612" s="76"/>
      <c r="AV612" s="76"/>
      <c r="AW612" s="79"/>
      <c r="AX612" s="79"/>
      <c r="AY612" s="79"/>
      <c r="AZ612" s="79"/>
      <c r="BA612" s="79"/>
      <c r="BB612" s="11"/>
      <c r="BC612" s="11"/>
      <c r="BD612" s="11"/>
      <c r="BE612" s="73"/>
      <c r="BF612" s="73"/>
      <c r="BG612" s="73"/>
      <c r="BH612" s="77"/>
      <c r="BI612" s="77"/>
      <c r="BJ612" s="77"/>
      <c r="BK612" s="77"/>
      <c r="BL612" s="77"/>
      <c r="BM612" s="77"/>
      <c r="BN612" s="158"/>
      <c r="BO612" s="158"/>
    </row>
    <row r="613" spans="1:67" ht="15" x14ac:dyDescent="0.25">
      <c r="A613" s="71"/>
      <c r="B613" s="11"/>
      <c r="C613" s="11"/>
      <c r="D613" s="11"/>
      <c r="E613" s="11"/>
      <c r="F613" s="11"/>
      <c r="G613" s="11"/>
      <c r="H613" s="11"/>
      <c r="I613" s="11"/>
      <c r="J613" s="249"/>
      <c r="K613" s="72"/>
      <c r="L613" s="73"/>
      <c r="M613" s="73"/>
      <c r="N613" s="74"/>
      <c r="O613" s="75"/>
      <c r="P613" s="73"/>
      <c r="Q613" s="76"/>
      <c r="R613" s="76"/>
      <c r="S613" s="76"/>
      <c r="T613" s="76"/>
      <c r="U613" s="76"/>
      <c r="V613" s="76"/>
      <c r="W613" s="76"/>
      <c r="X613" s="76"/>
      <c r="Y613" s="76"/>
      <c r="Z613" s="77"/>
      <c r="AA613" s="77"/>
      <c r="AB613" s="77"/>
      <c r="AC613" s="77"/>
      <c r="AD613" s="77"/>
      <c r="AE613" s="77"/>
      <c r="AF613" s="77"/>
      <c r="AG613" s="77"/>
      <c r="AH613" s="78"/>
      <c r="AI613" s="78"/>
      <c r="AJ613" s="78"/>
      <c r="AK613" s="78"/>
      <c r="AL613" s="78"/>
      <c r="AM613" s="78"/>
      <c r="AN613" s="76"/>
      <c r="AO613" s="76"/>
      <c r="AP613" s="76"/>
      <c r="AQ613" s="76"/>
      <c r="AR613" s="76"/>
      <c r="AS613" s="76"/>
      <c r="AT613" s="76"/>
      <c r="AU613" s="76"/>
      <c r="AV613" s="76"/>
      <c r="AW613" s="79"/>
      <c r="AX613" s="79"/>
      <c r="AY613" s="79"/>
      <c r="AZ613" s="79"/>
      <c r="BA613" s="79"/>
      <c r="BB613" s="11"/>
      <c r="BC613" s="11"/>
      <c r="BD613" s="11"/>
      <c r="BE613" s="73"/>
      <c r="BF613" s="73"/>
      <c r="BG613" s="73"/>
      <c r="BH613" s="77"/>
      <c r="BI613" s="77"/>
      <c r="BJ613" s="77"/>
      <c r="BK613" s="77"/>
      <c r="BL613" s="77"/>
      <c r="BM613" s="77"/>
      <c r="BN613" s="158"/>
      <c r="BO613" s="158"/>
    </row>
    <row r="614" spans="1:67" ht="15" x14ac:dyDescent="0.25">
      <c r="A614" s="71"/>
      <c r="B614" s="11"/>
      <c r="C614" s="11"/>
      <c r="D614" s="11"/>
      <c r="E614" s="11"/>
      <c r="F614" s="11"/>
      <c r="G614" s="11"/>
      <c r="H614" s="11"/>
      <c r="I614" s="11"/>
      <c r="J614" s="249"/>
      <c r="K614" s="72"/>
      <c r="L614" s="73"/>
      <c r="M614" s="73"/>
      <c r="N614" s="74"/>
      <c r="O614" s="75"/>
      <c r="P614" s="73"/>
      <c r="Q614" s="76"/>
      <c r="R614" s="76"/>
      <c r="S614" s="76"/>
      <c r="T614" s="76"/>
      <c r="U614" s="76"/>
      <c r="V614" s="76"/>
      <c r="W614" s="76"/>
      <c r="X614" s="76"/>
      <c r="Y614" s="76"/>
      <c r="Z614" s="77"/>
      <c r="AA614" s="77"/>
      <c r="AB614" s="77"/>
      <c r="AC614" s="77"/>
      <c r="AD614" s="77"/>
      <c r="AE614" s="77"/>
      <c r="AF614" s="77"/>
      <c r="AG614" s="77"/>
      <c r="AH614" s="78"/>
      <c r="AI614" s="78"/>
      <c r="AJ614" s="78"/>
      <c r="AK614" s="78"/>
      <c r="AL614" s="78"/>
      <c r="AM614" s="78"/>
      <c r="AN614" s="76"/>
      <c r="AO614" s="76"/>
      <c r="AP614" s="76"/>
      <c r="AQ614" s="76"/>
      <c r="AR614" s="76"/>
      <c r="AS614" s="76"/>
      <c r="AT614" s="76"/>
      <c r="AU614" s="76"/>
      <c r="AV614" s="76"/>
      <c r="AW614" s="79"/>
      <c r="AX614" s="79"/>
      <c r="AY614" s="79"/>
      <c r="AZ614" s="79"/>
      <c r="BA614" s="79"/>
      <c r="BB614" s="11"/>
      <c r="BC614" s="11"/>
      <c r="BD614" s="11"/>
      <c r="BE614" s="73"/>
      <c r="BF614" s="73"/>
      <c r="BG614" s="73"/>
      <c r="BH614" s="77"/>
      <c r="BI614" s="77"/>
      <c r="BJ614" s="77"/>
      <c r="BK614" s="77"/>
      <c r="BL614" s="77"/>
      <c r="BM614" s="77"/>
      <c r="BN614" s="158"/>
      <c r="BO614" s="158"/>
    </row>
    <row r="615" spans="1:67" ht="15" x14ac:dyDescent="0.25">
      <c r="A615" s="71"/>
      <c r="B615" s="11"/>
      <c r="C615" s="11"/>
      <c r="D615" s="11"/>
      <c r="E615" s="11"/>
      <c r="F615" s="11"/>
      <c r="G615" s="11"/>
      <c r="H615" s="11"/>
      <c r="I615" s="11"/>
      <c r="J615" s="249"/>
      <c r="K615" s="72"/>
      <c r="L615" s="73"/>
      <c r="M615" s="73"/>
      <c r="N615" s="74"/>
      <c r="O615" s="75"/>
      <c r="P615" s="73"/>
      <c r="Q615" s="76"/>
      <c r="R615" s="76"/>
      <c r="S615" s="76"/>
      <c r="T615" s="76"/>
      <c r="U615" s="76"/>
      <c r="V615" s="76"/>
      <c r="W615" s="76"/>
      <c r="X615" s="76"/>
      <c r="Y615" s="76"/>
      <c r="Z615" s="77"/>
      <c r="AA615" s="77"/>
      <c r="AB615" s="77"/>
      <c r="AC615" s="77"/>
      <c r="AD615" s="77"/>
      <c r="AE615" s="77"/>
      <c r="AF615" s="77"/>
      <c r="AG615" s="77"/>
      <c r="AH615" s="78"/>
      <c r="AI615" s="78"/>
      <c r="AJ615" s="78"/>
      <c r="AK615" s="78"/>
      <c r="AL615" s="78"/>
      <c r="AM615" s="78"/>
      <c r="AN615" s="76"/>
      <c r="AO615" s="76"/>
      <c r="AP615" s="76"/>
      <c r="AQ615" s="76"/>
      <c r="AR615" s="76"/>
      <c r="AS615" s="76"/>
      <c r="AT615" s="76"/>
      <c r="AU615" s="76"/>
      <c r="AV615" s="76"/>
      <c r="AW615" s="79"/>
      <c r="AX615" s="79"/>
      <c r="AY615" s="79"/>
      <c r="AZ615" s="79"/>
      <c r="BA615" s="79"/>
      <c r="BB615" s="11"/>
      <c r="BC615" s="11"/>
      <c r="BD615" s="11"/>
      <c r="BE615" s="73"/>
      <c r="BF615" s="73"/>
      <c r="BG615" s="73"/>
      <c r="BH615" s="77"/>
      <c r="BI615" s="77"/>
      <c r="BJ615" s="77"/>
      <c r="BK615" s="77"/>
      <c r="BL615" s="77"/>
      <c r="BM615" s="77"/>
      <c r="BN615" s="158"/>
      <c r="BO615" s="158"/>
    </row>
    <row r="616" spans="1:67" ht="15" x14ac:dyDescent="0.25">
      <c r="A616" s="71"/>
      <c r="B616" s="11"/>
      <c r="C616" s="11"/>
      <c r="D616" s="11"/>
      <c r="E616" s="11"/>
      <c r="F616" s="11"/>
      <c r="G616" s="11"/>
      <c r="H616" s="11"/>
      <c r="I616" s="11"/>
      <c r="J616" s="249"/>
      <c r="K616" s="72"/>
      <c r="L616" s="73"/>
      <c r="M616" s="73"/>
      <c r="N616" s="74"/>
      <c r="O616" s="75"/>
      <c r="P616" s="73"/>
      <c r="Q616" s="76"/>
      <c r="R616" s="76"/>
      <c r="S616" s="76"/>
      <c r="T616" s="76"/>
      <c r="U616" s="76"/>
      <c r="V616" s="76"/>
      <c r="W616" s="76"/>
      <c r="X616" s="76"/>
      <c r="Y616" s="76"/>
      <c r="Z616" s="77"/>
      <c r="AA616" s="77"/>
      <c r="AB616" s="77"/>
      <c r="AC616" s="77"/>
      <c r="AD616" s="77"/>
      <c r="AE616" s="77"/>
      <c r="AF616" s="77"/>
      <c r="AG616" s="77"/>
      <c r="AH616" s="78"/>
      <c r="AI616" s="78"/>
      <c r="AJ616" s="78"/>
      <c r="AK616" s="78"/>
      <c r="AL616" s="78"/>
      <c r="AM616" s="78"/>
      <c r="AN616" s="76"/>
      <c r="AO616" s="76"/>
      <c r="AP616" s="76"/>
      <c r="AQ616" s="76"/>
      <c r="AR616" s="76"/>
      <c r="AS616" s="76"/>
      <c r="AT616" s="76"/>
      <c r="AU616" s="76"/>
      <c r="AV616" s="76"/>
      <c r="AW616" s="79"/>
      <c r="AX616" s="79"/>
      <c r="AY616" s="79"/>
      <c r="AZ616" s="79"/>
      <c r="BA616" s="79"/>
      <c r="BB616" s="11"/>
      <c r="BC616" s="11"/>
      <c r="BD616" s="11"/>
      <c r="BE616" s="73"/>
      <c r="BF616" s="73"/>
      <c r="BG616" s="73"/>
      <c r="BH616" s="77"/>
      <c r="BI616" s="77"/>
      <c r="BJ616" s="77"/>
      <c r="BK616" s="77"/>
      <c r="BL616" s="77"/>
      <c r="BM616" s="77"/>
      <c r="BN616" s="158"/>
      <c r="BO616" s="158"/>
    </row>
    <row r="617" spans="1:67" ht="15" x14ac:dyDescent="0.25">
      <c r="A617" s="71"/>
      <c r="B617" s="11"/>
      <c r="C617" s="11"/>
      <c r="D617" s="11"/>
      <c r="E617" s="11"/>
      <c r="F617" s="11"/>
      <c r="G617" s="11"/>
      <c r="H617" s="11"/>
      <c r="I617" s="11"/>
      <c r="J617" s="249"/>
      <c r="K617" s="72"/>
      <c r="L617" s="73"/>
      <c r="M617" s="73"/>
      <c r="N617" s="74"/>
      <c r="O617" s="75"/>
      <c r="P617" s="73"/>
      <c r="Q617" s="76"/>
      <c r="R617" s="76"/>
      <c r="S617" s="76"/>
      <c r="T617" s="76"/>
      <c r="U617" s="76"/>
      <c r="V617" s="76"/>
      <c r="W617" s="76"/>
      <c r="X617" s="76"/>
      <c r="Y617" s="76"/>
      <c r="Z617" s="77"/>
      <c r="AA617" s="77"/>
      <c r="AB617" s="77"/>
      <c r="AC617" s="77"/>
      <c r="AD617" s="77"/>
      <c r="AE617" s="77"/>
      <c r="AF617" s="77"/>
      <c r="AG617" s="77"/>
      <c r="AH617" s="78"/>
      <c r="AI617" s="78"/>
      <c r="AJ617" s="78"/>
      <c r="AK617" s="78"/>
      <c r="AL617" s="78"/>
      <c r="AM617" s="78"/>
      <c r="AN617" s="76"/>
      <c r="AO617" s="76"/>
      <c r="AP617" s="76"/>
      <c r="AQ617" s="76"/>
      <c r="AR617" s="76"/>
      <c r="AS617" s="76"/>
      <c r="AT617" s="76"/>
      <c r="AU617" s="76"/>
      <c r="AV617" s="76"/>
      <c r="AW617" s="79"/>
      <c r="AX617" s="79"/>
      <c r="AY617" s="79"/>
      <c r="AZ617" s="79"/>
      <c r="BA617" s="79"/>
      <c r="BB617" s="11"/>
      <c r="BC617" s="11"/>
      <c r="BD617" s="11"/>
      <c r="BE617" s="73"/>
      <c r="BF617" s="73"/>
      <c r="BG617" s="73"/>
      <c r="BH617" s="77"/>
      <c r="BI617" s="77"/>
      <c r="BJ617" s="77"/>
      <c r="BK617" s="77"/>
      <c r="BL617" s="77"/>
      <c r="BM617" s="77"/>
      <c r="BN617" s="158"/>
      <c r="BO617" s="158"/>
    </row>
    <row r="618" spans="1:67" ht="15" x14ac:dyDescent="0.25">
      <c r="A618" s="71"/>
      <c r="B618" s="11"/>
      <c r="C618" s="11"/>
      <c r="D618" s="11"/>
      <c r="E618" s="11"/>
      <c r="F618" s="11"/>
      <c r="G618" s="11"/>
      <c r="H618" s="11"/>
      <c r="I618" s="11"/>
      <c r="J618" s="249"/>
      <c r="K618" s="72"/>
      <c r="L618" s="73"/>
      <c r="M618" s="73"/>
      <c r="N618" s="74"/>
      <c r="O618" s="75"/>
      <c r="P618" s="73"/>
      <c r="Q618" s="76"/>
      <c r="R618" s="76"/>
      <c r="S618" s="76"/>
      <c r="T618" s="76"/>
      <c r="U618" s="76"/>
      <c r="V618" s="76"/>
      <c r="W618" s="76"/>
      <c r="X618" s="76"/>
      <c r="Y618" s="76"/>
      <c r="Z618" s="77"/>
      <c r="AA618" s="77"/>
      <c r="AB618" s="77"/>
      <c r="AC618" s="77"/>
      <c r="AD618" s="77"/>
      <c r="AE618" s="77"/>
      <c r="AF618" s="77"/>
      <c r="AG618" s="77"/>
      <c r="AH618" s="78"/>
      <c r="AI618" s="78"/>
      <c r="AJ618" s="78"/>
      <c r="AK618" s="78"/>
      <c r="AL618" s="78"/>
      <c r="AM618" s="78"/>
      <c r="AN618" s="76"/>
      <c r="AO618" s="76"/>
      <c r="AP618" s="76"/>
      <c r="AQ618" s="76"/>
      <c r="AR618" s="76"/>
      <c r="AS618" s="76"/>
      <c r="AT618" s="76"/>
      <c r="AU618" s="76"/>
      <c r="AV618" s="76"/>
      <c r="AW618" s="79"/>
      <c r="AX618" s="79"/>
      <c r="AY618" s="79"/>
      <c r="AZ618" s="79"/>
      <c r="BA618" s="79"/>
      <c r="BB618" s="11"/>
      <c r="BC618" s="11"/>
      <c r="BD618" s="11"/>
      <c r="BE618" s="73"/>
      <c r="BF618" s="73"/>
      <c r="BG618" s="73"/>
      <c r="BH618" s="77"/>
      <c r="BI618" s="77"/>
      <c r="BJ618" s="77"/>
      <c r="BK618" s="77"/>
      <c r="BL618" s="77"/>
      <c r="BM618" s="77"/>
      <c r="BN618" s="158"/>
      <c r="BO618" s="158"/>
    </row>
    <row r="619" spans="1:67" ht="15" x14ac:dyDescent="0.25">
      <c r="A619" s="71"/>
      <c r="B619" s="11"/>
      <c r="C619" s="11"/>
      <c r="D619" s="11"/>
      <c r="E619" s="11"/>
      <c r="F619" s="11"/>
      <c r="G619" s="11"/>
      <c r="H619" s="11"/>
      <c r="I619" s="11"/>
      <c r="J619" s="249"/>
      <c r="K619" s="72"/>
      <c r="L619" s="73"/>
      <c r="M619" s="73"/>
      <c r="N619" s="74"/>
      <c r="O619" s="75"/>
      <c r="P619" s="73"/>
      <c r="Q619" s="76"/>
      <c r="R619" s="76"/>
      <c r="S619" s="76"/>
      <c r="T619" s="76"/>
      <c r="U619" s="76"/>
      <c r="V619" s="76"/>
      <c r="W619" s="76"/>
      <c r="X619" s="76"/>
      <c r="Y619" s="76"/>
      <c r="Z619" s="77"/>
      <c r="AA619" s="77"/>
      <c r="AB619" s="77"/>
      <c r="AC619" s="77"/>
      <c r="AD619" s="77"/>
      <c r="AE619" s="77"/>
      <c r="AF619" s="77"/>
      <c r="AG619" s="77"/>
      <c r="AH619" s="78"/>
      <c r="AI619" s="78"/>
      <c r="AJ619" s="78"/>
      <c r="AK619" s="78"/>
      <c r="AL619" s="78"/>
      <c r="AM619" s="78"/>
      <c r="AN619" s="76"/>
      <c r="AO619" s="76"/>
      <c r="AP619" s="76"/>
      <c r="AQ619" s="76"/>
      <c r="AR619" s="76"/>
      <c r="AS619" s="76"/>
      <c r="AT619" s="76"/>
      <c r="AU619" s="76"/>
      <c r="AV619" s="76"/>
      <c r="AW619" s="79"/>
      <c r="AX619" s="79"/>
      <c r="AY619" s="79"/>
      <c r="AZ619" s="79"/>
      <c r="BA619" s="79"/>
      <c r="BB619" s="11"/>
      <c r="BC619" s="11"/>
      <c r="BD619" s="11"/>
      <c r="BE619" s="73"/>
      <c r="BF619" s="73"/>
      <c r="BG619" s="73"/>
      <c r="BH619" s="77"/>
      <c r="BI619" s="77"/>
      <c r="BJ619" s="77"/>
      <c r="BK619" s="77"/>
      <c r="BL619" s="77"/>
      <c r="BM619" s="77"/>
      <c r="BN619" s="158"/>
      <c r="BO619" s="158"/>
    </row>
    <row r="620" spans="1:67" ht="15" x14ac:dyDescent="0.25">
      <c r="A620" s="71"/>
      <c r="B620" s="11"/>
      <c r="C620" s="11"/>
      <c r="D620" s="11"/>
      <c r="E620" s="11"/>
      <c r="F620" s="11"/>
      <c r="G620" s="11"/>
      <c r="H620" s="11"/>
      <c r="I620" s="11"/>
      <c r="J620" s="249"/>
      <c r="K620" s="72"/>
      <c r="L620" s="73"/>
      <c r="M620" s="73"/>
      <c r="N620" s="74"/>
      <c r="O620" s="75"/>
      <c r="P620" s="73"/>
      <c r="Q620" s="76"/>
      <c r="R620" s="76"/>
      <c r="S620" s="76"/>
      <c r="T620" s="76"/>
      <c r="U620" s="76"/>
      <c r="V620" s="76"/>
      <c r="W620" s="76"/>
      <c r="X620" s="76"/>
      <c r="Y620" s="76"/>
      <c r="Z620" s="77"/>
      <c r="AA620" s="77"/>
      <c r="AB620" s="77"/>
      <c r="AC620" s="77"/>
      <c r="AD620" s="77"/>
      <c r="AE620" s="77"/>
      <c r="AF620" s="77"/>
      <c r="AG620" s="77"/>
      <c r="AH620" s="78"/>
      <c r="AI620" s="78"/>
      <c r="AJ620" s="78"/>
      <c r="AK620" s="78"/>
      <c r="AL620" s="78"/>
      <c r="AM620" s="78"/>
      <c r="AN620" s="76"/>
      <c r="AO620" s="76"/>
      <c r="AP620" s="76"/>
      <c r="AQ620" s="76"/>
      <c r="AR620" s="76"/>
      <c r="AS620" s="76"/>
      <c r="AT620" s="76"/>
      <c r="AU620" s="76"/>
      <c r="AV620" s="76"/>
      <c r="AW620" s="79"/>
      <c r="AX620" s="79"/>
      <c r="AY620" s="79"/>
      <c r="AZ620" s="79"/>
      <c r="BA620" s="79"/>
      <c r="BB620" s="11"/>
      <c r="BC620" s="11"/>
      <c r="BD620" s="11"/>
      <c r="BE620" s="73"/>
      <c r="BF620" s="73"/>
      <c r="BG620" s="73"/>
      <c r="BH620" s="77"/>
      <c r="BI620" s="77"/>
      <c r="BJ620" s="77"/>
      <c r="BK620" s="77"/>
      <c r="BL620" s="77"/>
      <c r="BM620" s="77"/>
      <c r="BN620" s="158"/>
      <c r="BO620" s="158"/>
    </row>
    <row r="621" spans="1:67" ht="15" x14ac:dyDescent="0.25">
      <c r="A621" s="71"/>
      <c r="B621" s="11"/>
      <c r="C621" s="11"/>
      <c r="D621" s="11"/>
      <c r="E621" s="11"/>
      <c r="F621" s="11"/>
      <c r="G621" s="11"/>
      <c r="H621" s="11"/>
      <c r="I621" s="11"/>
      <c r="J621" s="249"/>
      <c r="K621" s="72"/>
      <c r="L621" s="73"/>
      <c r="M621" s="73"/>
      <c r="N621" s="74"/>
      <c r="O621" s="75"/>
      <c r="P621" s="73"/>
      <c r="Q621" s="76"/>
      <c r="R621" s="76"/>
      <c r="S621" s="76"/>
      <c r="T621" s="76"/>
      <c r="U621" s="76"/>
      <c r="V621" s="76"/>
      <c r="W621" s="76"/>
      <c r="X621" s="76"/>
      <c r="Y621" s="76"/>
      <c r="Z621" s="77"/>
      <c r="AA621" s="77"/>
      <c r="AB621" s="77"/>
      <c r="AC621" s="77"/>
      <c r="AD621" s="77"/>
      <c r="AE621" s="77"/>
      <c r="AF621" s="77"/>
      <c r="AG621" s="77"/>
      <c r="AH621" s="78"/>
      <c r="AI621" s="78"/>
      <c r="AJ621" s="78"/>
      <c r="AK621" s="78"/>
      <c r="AL621" s="78"/>
      <c r="AM621" s="78"/>
      <c r="AN621" s="76"/>
      <c r="AO621" s="76"/>
      <c r="AP621" s="76"/>
      <c r="AQ621" s="76"/>
      <c r="AR621" s="76"/>
      <c r="AS621" s="76"/>
      <c r="AT621" s="76"/>
      <c r="AU621" s="76"/>
      <c r="AV621" s="76"/>
      <c r="AW621" s="79"/>
      <c r="AX621" s="79"/>
      <c r="AY621" s="79"/>
      <c r="AZ621" s="79"/>
      <c r="BA621" s="79"/>
      <c r="BB621" s="11"/>
      <c r="BC621" s="11"/>
      <c r="BD621" s="11"/>
      <c r="BE621" s="73"/>
      <c r="BF621" s="73"/>
      <c r="BG621" s="73"/>
      <c r="BH621" s="77"/>
      <c r="BI621" s="77"/>
      <c r="BJ621" s="77"/>
      <c r="BK621" s="77"/>
      <c r="BL621" s="77"/>
      <c r="BM621" s="77"/>
      <c r="BN621" s="158"/>
      <c r="BO621" s="158"/>
    </row>
    <row r="622" spans="1:67" ht="15" x14ac:dyDescent="0.25">
      <c r="A622" s="71"/>
      <c r="B622" s="11"/>
      <c r="C622" s="11"/>
      <c r="D622" s="11"/>
      <c r="E622" s="11"/>
      <c r="F622" s="11"/>
      <c r="G622" s="11"/>
      <c r="H622" s="11"/>
      <c r="I622" s="11"/>
      <c r="J622" s="249"/>
      <c r="K622" s="72"/>
      <c r="L622" s="73"/>
      <c r="M622" s="73"/>
      <c r="N622" s="74"/>
      <c r="O622" s="75"/>
      <c r="P622" s="73"/>
      <c r="Q622" s="76"/>
      <c r="R622" s="76"/>
      <c r="S622" s="76"/>
      <c r="T622" s="76"/>
      <c r="U622" s="76"/>
      <c r="V622" s="76"/>
      <c r="W622" s="76"/>
      <c r="X622" s="76"/>
      <c r="Y622" s="76"/>
      <c r="Z622" s="77"/>
      <c r="AA622" s="77"/>
      <c r="AB622" s="77"/>
      <c r="AC622" s="77"/>
      <c r="AD622" s="77"/>
      <c r="AE622" s="77"/>
      <c r="AF622" s="77"/>
      <c r="AG622" s="77"/>
      <c r="AH622" s="78"/>
      <c r="AI622" s="78"/>
      <c r="AJ622" s="78"/>
      <c r="AK622" s="78"/>
      <c r="AL622" s="78"/>
      <c r="AM622" s="78"/>
      <c r="AN622" s="76"/>
      <c r="AO622" s="76"/>
      <c r="AP622" s="76"/>
      <c r="AQ622" s="76"/>
      <c r="AR622" s="76"/>
      <c r="AS622" s="76"/>
      <c r="AT622" s="76"/>
      <c r="AU622" s="76"/>
      <c r="AV622" s="76"/>
      <c r="AW622" s="79"/>
      <c r="AX622" s="79"/>
      <c r="AY622" s="79"/>
      <c r="AZ622" s="79"/>
      <c r="BA622" s="79"/>
      <c r="BB622" s="11"/>
      <c r="BC622" s="11"/>
      <c r="BD622" s="11"/>
      <c r="BE622" s="73"/>
      <c r="BF622" s="73"/>
      <c r="BG622" s="73"/>
      <c r="BH622" s="77"/>
      <c r="BI622" s="77"/>
      <c r="BJ622" s="77"/>
      <c r="BK622" s="77"/>
      <c r="BL622" s="77"/>
      <c r="BM622" s="77"/>
      <c r="BN622" s="158"/>
      <c r="BO622" s="158"/>
    </row>
    <row r="623" spans="1:67" ht="15" x14ac:dyDescent="0.25">
      <c r="A623" s="71"/>
      <c r="B623" s="11"/>
      <c r="C623" s="11"/>
      <c r="D623" s="11"/>
      <c r="E623" s="11"/>
      <c r="F623" s="11"/>
      <c r="G623" s="11"/>
      <c r="H623" s="11"/>
      <c r="I623" s="11"/>
      <c r="J623" s="249"/>
      <c r="K623" s="72"/>
      <c r="L623" s="73"/>
      <c r="M623" s="73"/>
      <c r="N623" s="74"/>
      <c r="O623" s="75"/>
      <c r="P623" s="73"/>
      <c r="Q623" s="76"/>
      <c r="R623" s="76"/>
      <c r="S623" s="76"/>
      <c r="T623" s="76"/>
      <c r="U623" s="76"/>
      <c r="V623" s="76"/>
      <c r="W623" s="76"/>
      <c r="X623" s="76"/>
      <c r="Y623" s="76"/>
      <c r="Z623" s="77"/>
      <c r="AA623" s="77"/>
      <c r="AB623" s="77"/>
      <c r="AC623" s="77"/>
      <c r="AD623" s="77"/>
      <c r="AE623" s="77"/>
      <c r="AF623" s="77"/>
      <c r="AG623" s="77"/>
      <c r="AH623" s="78"/>
      <c r="AI623" s="78"/>
      <c r="AJ623" s="78"/>
      <c r="AK623" s="78"/>
      <c r="AL623" s="78"/>
      <c r="AM623" s="78"/>
      <c r="AN623" s="76"/>
      <c r="AO623" s="76"/>
      <c r="AP623" s="76"/>
      <c r="AQ623" s="76"/>
      <c r="AR623" s="76"/>
      <c r="AS623" s="76"/>
      <c r="AT623" s="76"/>
      <c r="AU623" s="76"/>
      <c r="AV623" s="76"/>
      <c r="AW623" s="79"/>
      <c r="AX623" s="79"/>
      <c r="AY623" s="79"/>
      <c r="AZ623" s="79"/>
      <c r="BA623" s="79"/>
      <c r="BB623" s="11"/>
      <c r="BC623" s="11"/>
      <c r="BD623" s="11"/>
      <c r="BE623" s="73"/>
      <c r="BF623" s="73"/>
      <c r="BG623" s="73"/>
      <c r="BH623" s="77"/>
      <c r="BI623" s="77"/>
      <c r="BJ623" s="77"/>
      <c r="BK623" s="77"/>
      <c r="BL623" s="77"/>
      <c r="BM623" s="77"/>
      <c r="BN623" s="158"/>
      <c r="BO623" s="158"/>
    </row>
    <row r="624" spans="1:67" ht="15" x14ac:dyDescent="0.25">
      <c r="A624" s="71"/>
      <c r="B624" s="11"/>
      <c r="C624" s="11"/>
      <c r="D624" s="11"/>
      <c r="E624" s="11"/>
      <c r="F624" s="11"/>
      <c r="G624" s="11"/>
      <c r="H624" s="11"/>
      <c r="I624" s="11"/>
      <c r="J624" s="249"/>
      <c r="K624" s="72"/>
      <c r="L624" s="73"/>
      <c r="M624" s="73"/>
      <c r="N624" s="74"/>
      <c r="O624" s="75"/>
      <c r="P624" s="73"/>
      <c r="Q624" s="76"/>
      <c r="R624" s="76"/>
      <c r="S624" s="76"/>
      <c r="T624" s="76"/>
      <c r="U624" s="76"/>
      <c r="V624" s="76"/>
      <c r="W624" s="76"/>
      <c r="X624" s="76"/>
      <c r="Y624" s="76"/>
      <c r="Z624" s="77"/>
      <c r="AA624" s="77"/>
      <c r="AB624" s="77"/>
      <c r="AC624" s="77"/>
      <c r="AD624" s="77"/>
      <c r="AE624" s="77"/>
      <c r="AF624" s="77"/>
      <c r="AG624" s="77"/>
      <c r="AH624" s="78"/>
      <c r="AI624" s="78"/>
      <c r="AJ624" s="78"/>
      <c r="AK624" s="78"/>
      <c r="AL624" s="78"/>
      <c r="AM624" s="78"/>
      <c r="AN624" s="76"/>
      <c r="AO624" s="76"/>
      <c r="AP624" s="76"/>
      <c r="AQ624" s="76"/>
      <c r="AR624" s="76"/>
      <c r="AS624" s="76"/>
      <c r="AT624" s="76"/>
      <c r="AU624" s="76"/>
      <c r="AV624" s="76"/>
      <c r="AW624" s="79"/>
      <c r="AX624" s="79"/>
      <c r="AY624" s="79"/>
      <c r="AZ624" s="79"/>
      <c r="BA624" s="79"/>
      <c r="BB624" s="11"/>
      <c r="BC624" s="11"/>
      <c r="BD624" s="11"/>
      <c r="BE624" s="73"/>
      <c r="BF624" s="73"/>
      <c r="BG624" s="73"/>
      <c r="BH624" s="77"/>
      <c r="BI624" s="77"/>
      <c r="BJ624" s="77"/>
      <c r="BK624" s="77"/>
      <c r="BL624" s="77"/>
      <c r="BM624" s="77"/>
      <c r="BN624" s="158"/>
      <c r="BO624" s="158"/>
    </row>
    <row r="625" spans="1:67" ht="15" x14ac:dyDescent="0.25">
      <c r="A625" s="71"/>
      <c r="B625" s="11"/>
      <c r="C625" s="11"/>
      <c r="D625" s="11"/>
      <c r="E625" s="11"/>
      <c r="F625" s="11"/>
      <c r="G625" s="11"/>
      <c r="H625" s="11"/>
      <c r="I625" s="11"/>
      <c r="J625" s="249"/>
      <c r="K625" s="72"/>
      <c r="L625" s="73"/>
      <c r="M625" s="73"/>
      <c r="N625" s="74"/>
      <c r="O625" s="75"/>
      <c r="P625" s="73"/>
      <c r="Q625" s="76"/>
      <c r="R625" s="76"/>
      <c r="S625" s="76"/>
      <c r="T625" s="76"/>
      <c r="U625" s="76"/>
      <c r="V625" s="76"/>
      <c r="W625" s="76"/>
      <c r="X625" s="76"/>
      <c r="Y625" s="76"/>
      <c r="Z625" s="77"/>
      <c r="AA625" s="77"/>
      <c r="AB625" s="77"/>
      <c r="AC625" s="77"/>
      <c r="AD625" s="77"/>
      <c r="AE625" s="77"/>
      <c r="AF625" s="77"/>
      <c r="AG625" s="77"/>
      <c r="AH625" s="78"/>
      <c r="AI625" s="78"/>
      <c r="AJ625" s="78"/>
      <c r="AK625" s="78"/>
      <c r="AL625" s="78"/>
      <c r="AM625" s="78"/>
      <c r="AN625" s="76"/>
      <c r="AO625" s="76"/>
      <c r="AP625" s="76"/>
      <c r="AQ625" s="76"/>
      <c r="AR625" s="76"/>
      <c r="AS625" s="76"/>
      <c r="AT625" s="76"/>
      <c r="AU625" s="76"/>
      <c r="AV625" s="76"/>
      <c r="AW625" s="79"/>
      <c r="AX625" s="79"/>
      <c r="AY625" s="79"/>
      <c r="AZ625" s="79"/>
      <c r="BA625" s="79"/>
      <c r="BB625" s="11"/>
      <c r="BC625" s="11"/>
      <c r="BD625" s="11"/>
      <c r="BE625" s="73"/>
      <c r="BF625" s="73"/>
      <c r="BG625" s="73"/>
      <c r="BH625" s="77"/>
      <c r="BI625" s="77"/>
      <c r="BJ625" s="77"/>
      <c r="BK625" s="77"/>
      <c r="BL625" s="77"/>
      <c r="BM625" s="77"/>
      <c r="BN625" s="158"/>
      <c r="BO625" s="158"/>
    </row>
    <row r="626" spans="1:67" ht="15" x14ac:dyDescent="0.25">
      <c r="A626" s="71"/>
      <c r="B626" s="11"/>
      <c r="C626" s="11"/>
      <c r="D626" s="11"/>
      <c r="E626" s="11"/>
      <c r="F626" s="11"/>
      <c r="G626" s="11"/>
      <c r="H626" s="11"/>
      <c r="I626" s="11"/>
      <c r="J626" s="249"/>
      <c r="K626" s="72"/>
      <c r="L626" s="73"/>
      <c r="M626" s="73"/>
      <c r="N626" s="74"/>
      <c r="O626" s="75"/>
      <c r="P626" s="73"/>
      <c r="Q626" s="76"/>
      <c r="R626" s="76"/>
      <c r="S626" s="76"/>
      <c r="T626" s="76"/>
      <c r="U626" s="76"/>
      <c r="V626" s="76"/>
      <c r="W626" s="76"/>
      <c r="X626" s="76"/>
      <c r="Y626" s="76"/>
      <c r="Z626" s="77"/>
      <c r="AA626" s="77"/>
      <c r="AB626" s="77"/>
      <c r="AC626" s="77"/>
      <c r="AD626" s="77"/>
      <c r="AE626" s="77"/>
      <c r="AF626" s="77"/>
      <c r="AG626" s="77"/>
      <c r="AH626" s="78"/>
      <c r="AI626" s="78"/>
      <c r="AJ626" s="78"/>
      <c r="AK626" s="78"/>
      <c r="AL626" s="78"/>
      <c r="AM626" s="78"/>
      <c r="AN626" s="76"/>
      <c r="AO626" s="76"/>
      <c r="AP626" s="76"/>
      <c r="AQ626" s="76"/>
      <c r="AR626" s="76"/>
      <c r="AS626" s="76"/>
      <c r="AT626" s="76"/>
      <c r="AU626" s="76"/>
      <c r="AV626" s="76"/>
      <c r="AW626" s="79"/>
      <c r="AX626" s="79"/>
      <c r="AY626" s="79"/>
      <c r="AZ626" s="79"/>
      <c r="BA626" s="79"/>
      <c r="BB626" s="11"/>
      <c r="BC626" s="11"/>
      <c r="BD626" s="11"/>
      <c r="BE626" s="73"/>
      <c r="BF626" s="73"/>
      <c r="BG626" s="73"/>
      <c r="BH626" s="77"/>
      <c r="BI626" s="77"/>
      <c r="BJ626" s="77"/>
      <c r="BK626" s="77"/>
      <c r="BL626" s="77"/>
      <c r="BM626" s="77"/>
      <c r="BN626" s="158"/>
      <c r="BO626" s="158"/>
    </row>
    <row r="627" spans="1:67" ht="15" x14ac:dyDescent="0.25">
      <c r="A627" s="71"/>
      <c r="B627" s="11"/>
      <c r="C627" s="11"/>
      <c r="D627" s="11"/>
      <c r="E627" s="11"/>
      <c r="F627" s="11"/>
      <c r="G627" s="11"/>
      <c r="H627" s="11"/>
      <c r="I627" s="11"/>
      <c r="J627" s="249"/>
      <c r="K627" s="72"/>
      <c r="L627" s="73"/>
      <c r="M627" s="73"/>
      <c r="N627" s="74"/>
      <c r="O627" s="75"/>
      <c r="P627" s="73"/>
      <c r="Q627" s="76"/>
      <c r="R627" s="76"/>
      <c r="S627" s="76"/>
      <c r="T627" s="76"/>
      <c r="U627" s="76"/>
      <c r="V627" s="76"/>
      <c r="W627" s="76"/>
      <c r="X627" s="76"/>
      <c r="Y627" s="76"/>
      <c r="Z627" s="77"/>
      <c r="AA627" s="77"/>
      <c r="AB627" s="77"/>
      <c r="AC627" s="77"/>
      <c r="AD627" s="77"/>
      <c r="AE627" s="77"/>
      <c r="AF627" s="77"/>
      <c r="AG627" s="77"/>
      <c r="AH627" s="78"/>
      <c r="AI627" s="78"/>
      <c r="AJ627" s="78"/>
      <c r="AK627" s="78"/>
      <c r="AL627" s="78"/>
      <c r="AM627" s="78"/>
      <c r="AN627" s="76"/>
      <c r="AO627" s="76"/>
      <c r="AP627" s="76"/>
      <c r="AQ627" s="76"/>
      <c r="AR627" s="76"/>
      <c r="AS627" s="76"/>
      <c r="AT627" s="76"/>
      <c r="AU627" s="76"/>
      <c r="AV627" s="76"/>
      <c r="AW627" s="79"/>
      <c r="AX627" s="79"/>
      <c r="AY627" s="79"/>
      <c r="AZ627" s="79"/>
      <c r="BA627" s="79"/>
      <c r="BB627" s="11"/>
      <c r="BC627" s="11"/>
      <c r="BD627" s="11"/>
      <c r="BE627" s="73"/>
      <c r="BF627" s="73"/>
      <c r="BG627" s="73"/>
      <c r="BH627" s="77"/>
      <c r="BI627" s="77"/>
      <c r="BJ627" s="77"/>
      <c r="BK627" s="77"/>
      <c r="BL627" s="77"/>
      <c r="BM627" s="77"/>
      <c r="BN627" s="158"/>
      <c r="BO627" s="158"/>
    </row>
    <row r="628" spans="1:67" ht="15" x14ac:dyDescent="0.25">
      <c r="A628" s="71"/>
      <c r="B628" s="11"/>
      <c r="C628" s="11"/>
      <c r="D628" s="11"/>
      <c r="E628" s="11"/>
      <c r="F628" s="11"/>
      <c r="G628" s="11"/>
      <c r="H628" s="11"/>
      <c r="I628" s="11"/>
      <c r="J628" s="249"/>
      <c r="K628" s="72"/>
      <c r="L628" s="73"/>
      <c r="M628" s="73"/>
      <c r="N628" s="74"/>
      <c r="O628" s="75"/>
      <c r="P628" s="73"/>
      <c r="Q628" s="76"/>
      <c r="R628" s="76"/>
      <c r="S628" s="76"/>
      <c r="T628" s="76"/>
      <c r="U628" s="76"/>
      <c r="V628" s="76"/>
      <c r="W628" s="76"/>
      <c r="X628" s="76"/>
      <c r="Y628" s="76"/>
      <c r="Z628" s="77"/>
      <c r="AA628" s="77"/>
      <c r="AB628" s="77"/>
      <c r="AC628" s="77"/>
      <c r="AD628" s="77"/>
      <c r="AE628" s="77"/>
      <c r="AF628" s="77"/>
      <c r="AG628" s="77"/>
      <c r="AH628" s="78"/>
      <c r="AI628" s="78"/>
      <c r="AJ628" s="78"/>
      <c r="AK628" s="78"/>
      <c r="AL628" s="78"/>
      <c r="AM628" s="78"/>
      <c r="AN628" s="76"/>
      <c r="AO628" s="76"/>
      <c r="AP628" s="76"/>
      <c r="AQ628" s="76"/>
      <c r="AR628" s="76"/>
      <c r="AS628" s="76"/>
      <c r="AT628" s="76"/>
      <c r="AU628" s="76"/>
      <c r="AV628" s="76"/>
      <c r="AW628" s="79"/>
      <c r="AX628" s="79"/>
      <c r="AY628" s="79"/>
      <c r="AZ628" s="79"/>
      <c r="BA628" s="79"/>
      <c r="BB628" s="11"/>
      <c r="BC628" s="11"/>
      <c r="BD628" s="11"/>
      <c r="BE628" s="73"/>
      <c r="BF628" s="73"/>
      <c r="BG628" s="73"/>
      <c r="BH628" s="77"/>
      <c r="BI628" s="77"/>
      <c r="BJ628" s="77"/>
      <c r="BK628" s="77"/>
      <c r="BL628" s="77"/>
      <c r="BM628" s="77"/>
      <c r="BN628" s="158"/>
      <c r="BO628" s="158"/>
    </row>
    <row r="629" spans="1:67" ht="15" x14ac:dyDescent="0.25">
      <c r="A629" s="71"/>
      <c r="B629" s="11"/>
      <c r="C629" s="11"/>
      <c r="D629" s="11"/>
      <c r="E629" s="11"/>
      <c r="F629" s="11"/>
      <c r="G629" s="11"/>
      <c r="H629" s="11"/>
      <c r="I629" s="11"/>
      <c r="J629" s="249"/>
      <c r="K629" s="72"/>
      <c r="L629" s="73"/>
      <c r="M629" s="73"/>
      <c r="N629" s="74"/>
      <c r="O629" s="75"/>
      <c r="P629" s="73"/>
      <c r="Q629" s="76"/>
      <c r="R629" s="76"/>
      <c r="S629" s="76"/>
      <c r="T629" s="76"/>
      <c r="U629" s="76"/>
      <c r="V629" s="76"/>
      <c r="W629" s="76"/>
      <c r="X629" s="76"/>
      <c r="Y629" s="76"/>
      <c r="Z629" s="77"/>
      <c r="AA629" s="77"/>
      <c r="AB629" s="77"/>
      <c r="AC629" s="77"/>
      <c r="AD629" s="77"/>
      <c r="AE629" s="77"/>
      <c r="AF629" s="77"/>
      <c r="AG629" s="77"/>
      <c r="AH629" s="78"/>
      <c r="AI629" s="78"/>
      <c r="AJ629" s="78"/>
      <c r="AK629" s="78"/>
      <c r="AL629" s="78"/>
      <c r="AM629" s="78"/>
      <c r="AN629" s="76"/>
      <c r="AO629" s="76"/>
      <c r="AP629" s="76"/>
      <c r="AQ629" s="76"/>
      <c r="AR629" s="76"/>
      <c r="AS629" s="76"/>
      <c r="AT629" s="76"/>
      <c r="AU629" s="76"/>
      <c r="AV629" s="76"/>
      <c r="AW629" s="79"/>
      <c r="AX629" s="79"/>
      <c r="AY629" s="79"/>
      <c r="AZ629" s="79"/>
      <c r="BA629" s="79"/>
      <c r="BB629" s="11"/>
      <c r="BC629" s="11"/>
      <c r="BD629" s="11"/>
      <c r="BE629" s="73"/>
      <c r="BF629" s="73"/>
      <c r="BG629" s="73"/>
      <c r="BH629" s="77"/>
      <c r="BI629" s="77"/>
      <c r="BJ629" s="77"/>
      <c r="BK629" s="77"/>
      <c r="BL629" s="77"/>
      <c r="BM629" s="77"/>
      <c r="BN629" s="158"/>
      <c r="BO629" s="158"/>
    </row>
    <row r="630" spans="1:67" ht="15" x14ac:dyDescent="0.25">
      <c r="A630" s="71"/>
      <c r="B630" s="11"/>
      <c r="C630" s="11"/>
      <c r="D630" s="11"/>
      <c r="E630" s="11"/>
      <c r="F630" s="11"/>
      <c r="G630" s="11"/>
      <c r="H630" s="11"/>
      <c r="I630" s="11"/>
      <c r="J630" s="249"/>
      <c r="K630" s="72"/>
      <c r="L630" s="73"/>
      <c r="M630" s="73"/>
      <c r="N630" s="74"/>
      <c r="O630" s="75"/>
      <c r="P630" s="73"/>
      <c r="Q630" s="76"/>
      <c r="R630" s="76"/>
      <c r="S630" s="76"/>
      <c r="T630" s="76"/>
      <c r="U630" s="76"/>
      <c r="V630" s="76"/>
      <c r="W630" s="76"/>
      <c r="X630" s="76"/>
      <c r="Y630" s="76"/>
      <c r="Z630" s="77"/>
      <c r="AA630" s="77"/>
      <c r="AB630" s="77"/>
      <c r="AC630" s="77"/>
      <c r="AD630" s="77"/>
      <c r="AE630" s="77"/>
      <c r="AF630" s="77"/>
      <c r="AG630" s="77"/>
      <c r="AH630" s="78"/>
      <c r="AI630" s="78"/>
      <c r="AJ630" s="78"/>
      <c r="AK630" s="78"/>
      <c r="AL630" s="78"/>
      <c r="AM630" s="78"/>
      <c r="AN630" s="76"/>
      <c r="AO630" s="76"/>
      <c r="AP630" s="76"/>
      <c r="AQ630" s="76"/>
      <c r="AR630" s="76"/>
      <c r="AS630" s="76"/>
      <c r="AT630" s="76"/>
      <c r="AU630" s="76"/>
      <c r="AV630" s="76"/>
      <c r="AW630" s="79"/>
      <c r="AX630" s="79"/>
      <c r="AY630" s="79"/>
      <c r="AZ630" s="79"/>
      <c r="BA630" s="79"/>
      <c r="BB630" s="11"/>
      <c r="BC630" s="11"/>
      <c r="BD630" s="11"/>
      <c r="BE630" s="73"/>
      <c r="BF630" s="73"/>
      <c r="BG630" s="73"/>
      <c r="BH630" s="77"/>
      <c r="BI630" s="77"/>
      <c r="BJ630" s="77"/>
      <c r="BK630" s="77"/>
      <c r="BL630" s="77"/>
      <c r="BM630" s="77"/>
      <c r="BN630" s="158"/>
      <c r="BO630" s="158"/>
    </row>
    <row r="631" spans="1:67" ht="15" x14ac:dyDescent="0.25">
      <c r="A631" s="71"/>
      <c r="B631" s="11"/>
      <c r="C631" s="11"/>
      <c r="D631" s="11"/>
      <c r="E631" s="11"/>
      <c r="F631" s="11"/>
      <c r="G631" s="11"/>
      <c r="H631" s="11"/>
      <c r="I631" s="11"/>
      <c r="J631" s="249"/>
      <c r="K631" s="72"/>
      <c r="L631" s="73"/>
      <c r="M631" s="73"/>
      <c r="N631" s="74"/>
      <c r="O631" s="75"/>
      <c r="P631" s="73"/>
      <c r="Q631" s="76"/>
      <c r="R631" s="76"/>
      <c r="S631" s="76"/>
      <c r="T631" s="76"/>
      <c r="U631" s="76"/>
      <c r="V631" s="76"/>
      <c r="W631" s="76"/>
      <c r="X631" s="76"/>
      <c r="Y631" s="76"/>
      <c r="Z631" s="77"/>
      <c r="AA631" s="77"/>
      <c r="AB631" s="77"/>
      <c r="AC631" s="77"/>
      <c r="AD631" s="77"/>
      <c r="AE631" s="77"/>
      <c r="AF631" s="77"/>
      <c r="AG631" s="77"/>
      <c r="AH631" s="78"/>
      <c r="AI631" s="78"/>
      <c r="AJ631" s="78"/>
      <c r="AK631" s="78"/>
      <c r="AL631" s="78"/>
      <c r="AM631" s="78"/>
      <c r="AN631" s="76"/>
      <c r="AO631" s="76"/>
      <c r="AP631" s="76"/>
      <c r="AQ631" s="76"/>
      <c r="AR631" s="76"/>
      <c r="AS631" s="76"/>
      <c r="AT631" s="76"/>
      <c r="AU631" s="76"/>
      <c r="AV631" s="76"/>
      <c r="AW631" s="79"/>
      <c r="AX631" s="79"/>
      <c r="AY631" s="79"/>
      <c r="AZ631" s="79"/>
      <c r="BA631" s="79"/>
      <c r="BB631" s="11"/>
      <c r="BC631" s="11"/>
      <c r="BD631" s="11"/>
      <c r="BE631" s="73"/>
      <c r="BF631" s="73"/>
      <c r="BG631" s="73"/>
      <c r="BH631" s="77"/>
      <c r="BI631" s="77"/>
      <c r="BJ631" s="77"/>
      <c r="BK631" s="77"/>
      <c r="BL631" s="77"/>
      <c r="BM631" s="77"/>
      <c r="BN631" s="158"/>
      <c r="BO631" s="158"/>
    </row>
    <row r="632" spans="1:67" ht="15" x14ac:dyDescent="0.25">
      <c r="A632" s="71"/>
      <c r="B632" s="11"/>
      <c r="C632" s="11"/>
      <c r="D632" s="11"/>
      <c r="E632" s="11"/>
      <c r="F632" s="11"/>
      <c r="G632" s="11"/>
      <c r="H632" s="11"/>
      <c r="I632" s="11"/>
      <c r="J632" s="249"/>
      <c r="K632" s="72"/>
      <c r="L632" s="73"/>
      <c r="M632" s="73"/>
      <c r="N632" s="74"/>
      <c r="O632" s="75"/>
      <c r="P632" s="73"/>
      <c r="Q632" s="76"/>
      <c r="R632" s="76"/>
      <c r="S632" s="76"/>
      <c r="T632" s="76"/>
      <c r="U632" s="76"/>
      <c r="V632" s="76"/>
      <c r="W632" s="76"/>
      <c r="X632" s="76"/>
      <c r="Y632" s="76"/>
      <c r="Z632" s="77"/>
      <c r="AA632" s="77"/>
      <c r="AB632" s="77"/>
      <c r="AC632" s="77"/>
      <c r="AD632" s="77"/>
      <c r="AE632" s="77"/>
      <c r="AF632" s="77"/>
      <c r="AG632" s="77"/>
      <c r="AH632" s="78"/>
      <c r="AI632" s="78"/>
      <c r="AJ632" s="78"/>
      <c r="AK632" s="78"/>
      <c r="AL632" s="78"/>
      <c r="AM632" s="78"/>
      <c r="AN632" s="76"/>
      <c r="AO632" s="76"/>
      <c r="AP632" s="76"/>
      <c r="AQ632" s="76"/>
      <c r="AR632" s="76"/>
      <c r="AS632" s="76"/>
      <c r="AT632" s="76"/>
      <c r="AU632" s="76"/>
      <c r="AV632" s="76"/>
      <c r="AW632" s="79"/>
      <c r="AX632" s="79"/>
      <c r="AY632" s="79"/>
      <c r="AZ632" s="79"/>
      <c r="BA632" s="79"/>
      <c r="BB632" s="11"/>
      <c r="BC632" s="11"/>
      <c r="BD632" s="11"/>
      <c r="BE632" s="73"/>
      <c r="BF632" s="73"/>
      <c r="BG632" s="73"/>
      <c r="BH632" s="77"/>
      <c r="BI632" s="77"/>
      <c r="BJ632" s="77"/>
      <c r="BK632" s="77"/>
      <c r="BL632" s="77"/>
      <c r="BM632" s="77"/>
      <c r="BN632" s="158"/>
      <c r="BO632" s="158"/>
    </row>
    <row r="633" spans="1:67" ht="15" x14ac:dyDescent="0.25">
      <c r="A633" s="71"/>
      <c r="B633" s="11"/>
      <c r="C633" s="11"/>
      <c r="D633" s="11"/>
      <c r="E633" s="11"/>
      <c r="F633" s="11"/>
      <c r="G633" s="11"/>
      <c r="H633" s="11"/>
      <c r="I633" s="11"/>
      <c r="J633" s="249"/>
      <c r="K633" s="72"/>
      <c r="L633" s="73"/>
      <c r="M633" s="73"/>
      <c r="N633" s="74"/>
      <c r="O633" s="75"/>
      <c r="P633" s="73"/>
      <c r="Q633" s="76"/>
      <c r="R633" s="76"/>
      <c r="S633" s="76"/>
      <c r="T633" s="76"/>
      <c r="U633" s="76"/>
      <c r="V633" s="76"/>
      <c r="W633" s="76"/>
      <c r="X633" s="76"/>
      <c r="Y633" s="76"/>
      <c r="Z633" s="77"/>
      <c r="AA633" s="77"/>
      <c r="AB633" s="77"/>
      <c r="AC633" s="77"/>
      <c r="AD633" s="77"/>
      <c r="AE633" s="77"/>
      <c r="AF633" s="77"/>
      <c r="AG633" s="77"/>
      <c r="AH633" s="78"/>
      <c r="AI633" s="78"/>
      <c r="AJ633" s="78"/>
      <c r="AK633" s="78"/>
      <c r="AL633" s="78"/>
      <c r="AM633" s="78"/>
      <c r="AN633" s="76"/>
      <c r="AO633" s="76"/>
      <c r="AP633" s="76"/>
      <c r="AQ633" s="76"/>
      <c r="AR633" s="76"/>
      <c r="AS633" s="76"/>
      <c r="AT633" s="76"/>
      <c r="AU633" s="76"/>
      <c r="AV633" s="76"/>
      <c r="AW633" s="79"/>
      <c r="AX633" s="79"/>
      <c r="AY633" s="79"/>
      <c r="AZ633" s="79"/>
      <c r="BA633" s="79"/>
      <c r="BB633" s="11"/>
      <c r="BC633" s="11"/>
      <c r="BD633" s="11"/>
      <c r="BE633" s="73"/>
      <c r="BF633" s="73"/>
      <c r="BG633" s="73"/>
      <c r="BH633" s="77"/>
      <c r="BI633" s="77"/>
      <c r="BJ633" s="77"/>
      <c r="BK633" s="77"/>
      <c r="BL633" s="77"/>
      <c r="BM633" s="77"/>
      <c r="BN633" s="158"/>
      <c r="BO633" s="158"/>
    </row>
    <row r="634" spans="1:67" ht="15" x14ac:dyDescent="0.25">
      <c r="A634" s="71"/>
      <c r="B634" s="11"/>
      <c r="C634" s="11"/>
      <c r="D634" s="11"/>
      <c r="E634" s="11"/>
      <c r="F634" s="11"/>
      <c r="G634" s="11"/>
      <c r="H634" s="11"/>
      <c r="I634" s="11"/>
      <c r="J634" s="249"/>
      <c r="K634" s="72"/>
      <c r="L634" s="73"/>
      <c r="M634" s="73"/>
      <c r="N634" s="74"/>
      <c r="O634" s="75"/>
      <c r="P634" s="73"/>
      <c r="Q634" s="76"/>
      <c r="R634" s="76"/>
      <c r="S634" s="76"/>
      <c r="T634" s="76"/>
      <c r="U634" s="76"/>
      <c r="V634" s="76"/>
      <c r="W634" s="76"/>
      <c r="X634" s="76"/>
      <c r="Y634" s="76"/>
      <c r="Z634" s="77"/>
      <c r="AA634" s="77"/>
      <c r="AB634" s="77"/>
      <c r="AC634" s="77"/>
      <c r="AD634" s="77"/>
      <c r="AE634" s="77"/>
      <c r="AF634" s="77"/>
      <c r="AG634" s="77"/>
      <c r="AH634" s="78"/>
      <c r="AI634" s="78"/>
      <c r="AJ634" s="78"/>
      <c r="AK634" s="78"/>
      <c r="AL634" s="78"/>
      <c r="AM634" s="78"/>
      <c r="AN634" s="76"/>
      <c r="AO634" s="76"/>
      <c r="AP634" s="76"/>
      <c r="AQ634" s="76"/>
      <c r="AR634" s="76"/>
      <c r="AS634" s="76"/>
      <c r="AT634" s="76"/>
      <c r="AU634" s="76"/>
      <c r="AV634" s="76"/>
      <c r="AW634" s="79"/>
      <c r="AX634" s="79"/>
      <c r="AY634" s="79"/>
      <c r="AZ634" s="79"/>
      <c r="BA634" s="79"/>
      <c r="BB634" s="11"/>
      <c r="BC634" s="11"/>
      <c r="BD634" s="11"/>
      <c r="BE634" s="73"/>
      <c r="BF634" s="73"/>
      <c r="BG634" s="73"/>
      <c r="BH634" s="77"/>
      <c r="BI634" s="77"/>
      <c r="BJ634" s="77"/>
      <c r="BK634" s="77"/>
      <c r="BL634" s="77"/>
      <c r="BM634" s="77"/>
      <c r="BN634" s="158"/>
      <c r="BO634" s="158"/>
    </row>
    <row r="635" spans="1:67" ht="15" x14ac:dyDescent="0.25">
      <c r="A635" s="71"/>
      <c r="B635" s="11"/>
      <c r="C635" s="11"/>
      <c r="D635" s="11"/>
      <c r="E635" s="11"/>
      <c r="F635" s="11"/>
      <c r="G635" s="11"/>
      <c r="H635" s="11"/>
      <c r="I635" s="11"/>
      <c r="J635" s="249"/>
      <c r="K635" s="72"/>
      <c r="L635" s="73"/>
      <c r="M635" s="73"/>
      <c r="N635" s="74"/>
      <c r="O635" s="75"/>
      <c r="P635" s="73"/>
      <c r="Q635" s="76"/>
      <c r="R635" s="76"/>
      <c r="S635" s="76"/>
      <c r="T635" s="76"/>
      <c r="U635" s="76"/>
      <c r="V635" s="76"/>
      <c r="W635" s="76"/>
      <c r="X635" s="76"/>
      <c r="Y635" s="76"/>
      <c r="Z635" s="77"/>
      <c r="AA635" s="77"/>
      <c r="AB635" s="77"/>
      <c r="AC635" s="77"/>
      <c r="AD635" s="77"/>
      <c r="AE635" s="77"/>
      <c r="AF635" s="77"/>
      <c r="AG635" s="77"/>
      <c r="AH635" s="78"/>
      <c r="AI635" s="78"/>
      <c r="AJ635" s="78"/>
      <c r="AK635" s="78"/>
      <c r="AL635" s="78"/>
      <c r="AM635" s="78"/>
      <c r="AN635" s="76"/>
      <c r="AO635" s="76"/>
      <c r="AP635" s="76"/>
      <c r="AQ635" s="76"/>
      <c r="AR635" s="76"/>
      <c r="AS635" s="76"/>
      <c r="AT635" s="76"/>
      <c r="AU635" s="76"/>
      <c r="AV635" s="76"/>
      <c r="AW635" s="79"/>
      <c r="AX635" s="79"/>
      <c r="AY635" s="79"/>
      <c r="AZ635" s="79"/>
      <c r="BA635" s="79"/>
      <c r="BB635" s="11"/>
      <c r="BC635" s="11"/>
      <c r="BD635" s="11"/>
      <c r="BE635" s="73"/>
      <c r="BF635" s="73"/>
      <c r="BG635" s="73"/>
      <c r="BH635" s="77"/>
      <c r="BI635" s="77"/>
      <c r="BJ635" s="77"/>
      <c r="BK635" s="77"/>
      <c r="BL635" s="77"/>
      <c r="BM635" s="77"/>
      <c r="BN635" s="158"/>
      <c r="BO635" s="158"/>
    </row>
    <row r="636" spans="1:67" ht="15" x14ac:dyDescent="0.25">
      <c r="A636" s="71"/>
      <c r="B636" s="11"/>
      <c r="C636" s="11"/>
      <c r="D636" s="11"/>
      <c r="E636" s="11"/>
      <c r="F636" s="11"/>
      <c r="G636" s="11"/>
      <c r="H636" s="11"/>
      <c r="I636" s="11"/>
      <c r="J636" s="249"/>
      <c r="K636" s="72"/>
      <c r="L636" s="73"/>
      <c r="M636" s="73"/>
      <c r="N636" s="74"/>
      <c r="O636" s="75"/>
      <c r="P636" s="73"/>
      <c r="Q636" s="76"/>
      <c r="R636" s="76"/>
      <c r="S636" s="76"/>
      <c r="T636" s="76"/>
      <c r="U636" s="76"/>
      <c r="V636" s="76"/>
      <c r="W636" s="76"/>
      <c r="X636" s="76"/>
      <c r="Y636" s="76"/>
      <c r="Z636" s="77"/>
      <c r="AA636" s="77"/>
      <c r="AB636" s="77"/>
      <c r="AC636" s="77"/>
      <c r="AD636" s="77"/>
      <c r="AE636" s="77"/>
      <c r="AF636" s="77"/>
      <c r="AG636" s="77"/>
      <c r="AH636" s="78"/>
      <c r="AI636" s="78"/>
      <c r="AJ636" s="78"/>
      <c r="AK636" s="78"/>
      <c r="AL636" s="78"/>
      <c r="AM636" s="78"/>
      <c r="AN636" s="76"/>
      <c r="AO636" s="76"/>
      <c r="AP636" s="76"/>
      <c r="AQ636" s="76"/>
      <c r="AR636" s="76"/>
      <c r="AS636" s="76"/>
      <c r="AT636" s="76"/>
      <c r="AU636" s="76"/>
      <c r="AV636" s="76"/>
      <c r="AW636" s="79"/>
      <c r="AX636" s="79"/>
      <c r="AY636" s="79"/>
      <c r="AZ636" s="79"/>
      <c r="BA636" s="79"/>
      <c r="BB636" s="11"/>
      <c r="BC636" s="11"/>
      <c r="BD636" s="11"/>
      <c r="BE636" s="73"/>
      <c r="BF636" s="73"/>
      <c r="BG636" s="73"/>
      <c r="BH636" s="77"/>
      <c r="BI636" s="77"/>
      <c r="BJ636" s="77"/>
      <c r="BK636" s="77"/>
      <c r="BL636" s="77"/>
      <c r="BM636" s="77"/>
      <c r="BN636" s="158"/>
      <c r="BO636" s="158"/>
    </row>
    <row r="637" spans="1:67" ht="15" x14ac:dyDescent="0.25">
      <c r="A637" s="71"/>
      <c r="B637" s="11"/>
      <c r="C637" s="11"/>
      <c r="D637" s="11"/>
      <c r="E637" s="11"/>
      <c r="F637" s="11"/>
      <c r="G637" s="11"/>
      <c r="H637" s="11"/>
      <c r="I637" s="11"/>
      <c r="J637" s="249"/>
      <c r="K637" s="72"/>
      <c r="L637" s="73"/>
      <c r="M637" s="73"/>
      <c r="N637" s="74"/>
      <c r="O637" s="75"/>
      <c r="P637" s="73"/>
      <c r="Q637" s="76"/>
      <c r="R637" s="76"/>
      <c r="S637" s="76"/>
      <c r="T637" s="76"/>
      <c r="U637" s="76"/>
      <c r="V637" s="76"/>
      <c r="W637" s="76"/>
      <c r="X637" s="76"/>
      <c r="Y637" s="76"/>
      <c r="Z637" s="77"/>
      <c r="AA637" s="77"/>
      <c r="AB637" s="77"/>
      <c r="AC637" s="77"/>
      <c r="AD637" s="77"/>
      <c r="AE637" s="77"/>
      <c r="AF637" s="77"/>
      <c r="AG637" s="77"/>
      <c r="AH637" s="78"/>
      <c r="AI637" s="78"/>
      <c r="AJ637" s="78"/>
      <c r="AK637" s="78"/>
      <c r="AL637" s="78"/>
      <c r="AM637" s="78"/>
      <c r="AN637" s="76"/>
      <c r="AO637" s="76"/>
      <c r="AP637" s="76"/>
      <c r="AQ637" s="76"/>
      <c r="AR637" s="76"/>
      <c r="AS637" s="76"/>
      <c r="AT637" s="76"/>
      <c r="AU637" s="76"/>
      <c r="AV637" s="76"/>
      <c r="AW637" s="79"/>
      <c r="AX637" s="79"/>
      <c r="AY637" s="79"/>
      <c r="AZ637" s="79"/>
      <c r="BA637" s="79"/>
      <c r="BB637" s="11"/>
      <c r="BC637" s="11"/>
      <c r="BD637" s="11"/>
      <c r="BE637" s="73"/>
      <c r="BF637" s="73"/>
      <c r="BG637" s="73"/>
      <c r="BH637" s="77"/>
      <c r="BI637" s="77"/>
      <c r="BJ637" s="77"/>
      <c r="BK637" s="77"/>
      <c r="BL637" s="77"/>
      <c r="BM637" s="77"/>
      <c r="BN637" s="158"/>
      <c r="BO637" s="158"/>
    </row>
    <row r="638" spans="1:67" ht="15" x14ac:dyDescent="0.25">
      <c r="A638" s="71"/>
      <c r="B638" s="11"/>
      <c r="C638" s="11"/>
      <c r="D638" s="11"/>
      <c r="E638" s="11"/>
      <c r="F638" s="11"/>
      <c r="G638" s="11"/>
      <c r="H638" s="11"/>
      <c r="I638" s="11"/>
      <c r="J638" s="249"/>
      <c r="K638" s="72"/>
      <c r="L638" s="73"/>
      <c r="M638" s="73"/>
      <c r="N638" s="74"/>
      <c r="O638" s="75"/>
      <c r="P638" s="73"/>
      <c r="Q638" s="76"/>
      <c r="R638" s="76"/>
      <c r="S638" s="76"/>
      <c r="T638" s="76"/>
      <c r="U638" s="76"/>
      <c r="V638" s="76"/>
      <c r="W638" s="76"/>
      <c r="X638" s="76"/>
      <c r="Y638" s="76"/>
      <c r="Z638" s="77"/>
      <c r="AA638" s="77"/>
      <c r="AB638" s="77"/>
      <c r="AC638" s="77"/>
      <c r="AD638" s="77"/>
      <c r="AE638" s="77"/>
      <c r="AF638" s="77"/>
      <c r="AG638" s="77"/>
      <c r="AH638" s="78"/>
      <c r="AI638" s="78"/>
      <c r="AJ638" s="78"/>
      <c r="AK638" s="78"/>
      <c r="AL638" s="78"/>
      <c r="AM638" s="78"/>
      <c r="AN638" s="76"/>
      <c r="AO638" s="76"/>
      <c r="AP638" s="76"/>
      <c r="AQ638" s="76"/>
      <c r="AR638" s="76"/>
      <c r="AS638" s="76"/>
      <c r="AT638" s="76"/>
      <c r="AU638" s="76"/>
      <c r="AV638" s="76"/>
      <c r="AW638" s="79"/>
      <c r="AX638" s="79"/>
      <c r="AY638" s="79"/>
      <c r="AZ638" s="79"/>
      <c r="BA638" s="79"/>
      <c r="BB638" s="11"/>
      <c r="BC638" s="11"/>
      <c r="BD638" s="11"/>
      <c r="BE638" s="73"/>
      <c r="BF638" s="73"/>
      <c r="BG638" s="73"/>
      <c r="BH638" s="77"/>
      <c r="BI638" s="77"/>
      <c r="BJ638" s="77"/>
      <c r="BK638" s="77"/>
      <c r="BL638" s="77"/>
      <c r="BM638" s="77"/>
      <c r="BN638" s="158"/>
      <c r="BO638" s="158"/>
    </row>
    <row r="639" spans="1:67" ht="15" x14ac:dyDescent="0.25">
      <c r="A639" s="71"/>
      <c r="B639" s="11"/>
      <c r="C639" s="11"/>
      <c r="D639" s="11"/>
      <c r="E639" s="11"/>
      <c r="F639" s="11"/>
      <c r="G639" s="11"/>
      <c r="H639" s="11"/>
      <c r="I639" s="11"/>
      <c r="J639" s="249"/>
      <c r="K639" s="72"/>
      <c r="L639" s="73"/>
      <c r="M639" s="73"/>
      <c r="N639" s="74"/>
      <c r="O639" s="75"/>
      <c r="P639" s="73"/>
      <c r="Q639" s="76"/>
      <c r="R639" s="76"/>
      <c r="S639" s="76"/>
      <c r="T639" s="76"/>
      <c r="U639" s="76"/>
      <c r="V639" s="76"/>
      <c r="W639" s="76"/>
      <c r="X639" s="76"/>
      <c r="Y639" s="76"/>
      <c r="Z639" s="77"/>
      <c r="AA639" s="77"/>
      <c r="AB639" s="77"/>
      <c r="AC639" s="77"/>
      <c r="AD639" s="77"/>
      <c r="AE639" s="77"/>
      <c r="AF639" s="77"/>
      <c r="AG639" s="77"/>
      <c r="AH639" s="78"/>
      <c r="AI639" s="78"/>
      <c r="AJ639" s="78"/>
      <c r="AK639" s="78"/>
      <c r="AL639" s="78"/>
      <c r="AM639" s="78"/>
      <c r="AN639" s="76"/>
      <c r="AO639" s="76"/>
      <c r="AP639" s="76"/>
      <c r="AQ639" s="76"/>
      <c r="AR639" s="76"/>
      <c r="AS639" s="76"/>
      <c r="AT639" s="76"/>
      <c r="AU639" s="76"/>
      <c r="AV639" s="76"/>
      <c r="AW639" s="79"/>
      <c r="AX639" s="79"/>
      <c r="AY639" s="79"/>
      <c r="AZ639" s="79"/>
      <c r="BA639" s="79"/>
      <c r="BB639" s="11"/>
      <c r="BC639" s="11"/>
      <c r="BD639" s="11"/>
      <c r="BE639" s="73"/>
      <c r="BF639" s="73"/>
      <c r="BG639" s="73"/>
      <c r="BH639" s="77"/>
      <c r="BI639" s="77"/>
      <c r="BJ639" s="77"/>
      <c r="BK639" s="77"/>
      <c r="BL639" s="77"/>
      <c r="BM639" s="77"/>
      <c r="BN639" s="158"/>
      <c r="BO639" s="158"/>
    </row>
    <row r="640" spans="1:67" ht="15" x14ac:dyDescent="0.25">
      <c r="A640" s="71"/>
      <c r="B640" s="11"/>
      <c r="C640" s="11"/>
      <c r="D640" s="11"/>
      <c r="E640" s="11"/>
      <c r="F640" s="11"/>
      <c r="G640" s="11"/>
      <c r="H640" s="11"/>
      <c r="I640" s="11"/>
      <c r="J640" s="249"/>
      <c r="K640" s="72"/>
      <c r="L640" s="73"/>
      <c r="M640" s="73"/>
      <c r="N640" s="74"/>
      <c r="O640" s="75"/>
      <c r="P640" s="73"/>
      <c r="Q640" s="76"/>
      <c r="R640" s="76"/>
      <c r="S640" s="76"/>
      <c r="T640" s="76"/>
      <c r="U640" s="76"/>
      <c r="V640" s="76"/>
      <c r="W640" s="76"/>
      <c r="X640" s="76"/>
      <c r="Y640" s="76"/>
      <c r="Z640" s="77"/>
      <c r="AA640" s="77"/>
      <c r="AB640" s="77"/>
      <c r="AC640" s="77"/>
      <c r="AD640" s="77"/>
      <c r="AE640" s="77"/>
      <c r="AF640" s="77"/>
      <c r="AG640" s="77"/>
      <c r="AH640" s="78"/>
      <c r="AI640" s="78"/>
      <c r="AJ640" s="78"/>
      <c r="AK640" s="78"/>
      <c r="AL640" s="78"/>
      <c r="AM640" s="78"/>
      <c r="AN640" s="76"/>
      <c r="AO640" s="76"/>
      <c r="AP640" s="76"/>
      <c r="AQ640" s="76"/>
      <c r="AR640" s="76"/>
      <c r="AS640" s="76"/>
      <c r="AT640" s="76"/>
      <c r="AU640" s="76"/>
      <c r="AV640" s="76"/>
      <c r="AW640" s="79"/>
      <c r="AX640" s="79"/>
      <c r="AY640" s="79"/>
      <c r="AZ640" s="79"/>
      <c r="BA640" s="79"/>
      <c r="BB640" s="11"/>
      <c r="BC640" s="11"/>
      <c r="BD640" s="11"/>
      <c r="BE640" s="73"/>
      <c r="BF640" s="73"/>
      <c r="BG640" s="73"/>
      <c r="BH640" s="77"/>
      <c r="BI640" s="77"/>
      <c r="BJ640" s="77"/>
      <c r="BK640" s="77"/>
      <c r="BL640" s="77"/>
      <c r="BM640" s="77"/>
      <c r="BN640" s="158"/>
      <c r="BO640" s="158"/>
    </row>
    <row r="641" spans="1:67" ht="15" x14ac:dyDescent="0.25">
      <c r="A641" s="71"/>
      <c r="B641" s="11"/>
      <c r="C641" s="11"/>
      <c r="D641" s="11"/>
      <c r="E641" s="11"/>
      <c r="F641" s="11"/>
      <c r="G641" s="11"/>
      <c r="H641" s="11"/>
      <c r="I641" s="11"/>
      <c r="J641" s="249"/>
      <c r="K641" s="72"/>
      <c r="L641" s="73"/>
      <c r="M641" s="73"/>
      <c r="N641" s="74"/>
      <c r="O641" s="75"/>
      <c r="P641" s="73"/>
      <c r="Q641" s="76"/>
      <c r="R641" s="76"/>
      <c r="S641" s="76"/>
      <c r="T641" s="76"/>
      <c r="U641" s="76"/>
      <c r="V641" s="76"/>
      <c r="W641" s="76"/>
      <c r="X641" s="76"/>
      <c r="Y641" s="76"/>
      <c r="Z641" s="77"/>
      <c r="AA641" s="77"/>
      <c r="AB641" s="77"/>
      <c r="AC641" s="77"/>
      <c r="AD641" s="77"/>
      <c r="AE641" s="77"/>
      <c r="AF641" s="77"/>
      <c r="AG641" s="77"/>
      <c r="AH641" s="78"/>
      <c r="AI641" s="78"/>
      <c r="AJ641" s="78"/>
      <c r="AK641" s="78"/>
      <c r="AL641" s="78"/>
      <c r="AM641" s="78"/>
      <c r="AN641" s="76"/>
      <c r="AO641" s="76"/>
      <c r="AP641" s="76"/>
      <c r="AQ641" s="76"/>
      <c r="AR641" s="76"/>
      <c r="AS641" s="76"/>
      <c r="AT641" s="76"/>
      <c r="AU641" s="76"/>
      <c r="AV641" s="76"/>
      <c r="AW641" s="79"/>
      <c r="AX641" s="79"/>
      <c r="AY641" s="79"/>
      <c r="AZ641" s="79"/>
      <c r="BA641" s="79"/>
      <c r="BB641" s="11"/>
      <c r="BC641" s="11"/>
      <c r="BD641" s="11"/>
      <c r="BE641" s="73"/>
      <c r="BF641" s="73"/>
      <c r="BG641" s="73"/>
      <c r="BH641" s="77"/>
      <c r="BI641" s="77"/>
      <c r="BJ641" s="77"/>
      <c r="BK641" s="77"/>
      <c r="BL641" s="77"/>
      <c r="BM641" s="77"/>
      <c r="BN641" s="158"/>
      <c r="BO641" s="158"/>
    </row>
    <row r="642" spans="1:67" ht="15" x14ac:dyDescent="0.25">
      <c r="A642" s="71"/>
      <c r="B642" s="11"/>
      <c r="C642" s="11"/>
      <c r="D642" s="11"/>
      <c r="E642" s="11"/>
      <c r="F642" s="11"/>
      <c r="G642" s="11"/>
      <c r="H642" s="11"/>
      <c r="I642" s="11"/>
      <c r="J642" s="249"/>
      <c r="K642" s="72"/>
      <c r="L642" s="73"/>
      <c r="M642" s="73"/>
      <c r="N642" s="74"/>
      <c r="O642" s="75"/>
      <c r="P642" s="73"/>
      <c r="Q642" s="76"/>
      <c r="R642" s="76"/>
      <c r="S642" s="76"/>
      <c r="T642" s="76"/>
      <c r="U642" s="76"/>
      <c r="V642" s="76"/>
      <c r="W642" s="76"/>
      <c r="X642" s="76"/>
      <c r="Y642" s="76"/>
      <c r="Z642" s="77"/>
      <c r="AA642" s="77"/>
      <c r="AB642" s="77"/>
      <c r="AC642" s="77"/>
      <c r="AD642" s="77"/>
      <c r="AE642" s="77"/>
      <c r="AF642" s="77"/>
      <c r="AG642" s="77"/>
      <c r="AH642" s="78"/>
      <c r="AI642" s="78"/>
      <c r="AJ642" s="78"/>
      <c r="AK642" s="78"/>
      <c r="AL642" s="78"/>
      <c r="AM642" s="78"/>
      <c r="AN642" s="76"/>
      <c r="AO642" s="76"/>
      <c r="AP642" s="76"/>
      <c r="AQ642" s="76"/>
      <c r="AR642" s="76"/>
      <c r="AS642" s="76"/>
      <c r="AT642" s="76"/>
      <c r="AU642" s="76"/>
      <c r="AV642" s="76"/>
      <c r="AW642" s="79"/>
      <c r="AX642" s="79"/>
      <c r="AY642" s="79"/>
      <c r="AZ642" s="79"/>
      <c r="BA642" s="79"/>
      <c r="BB642" s="11"/>
      <c r="BC642" s="11"/>
      <c r="BD642" s="11"/>
      <c r="BE642" s="73"/>
      <c r="BF642" s="73"/>
      <c r="BG642" s="73"/>
      <c r="BH642" s="77"/>
      <c r="BI642" s="77"/>
      <c r="BJ642" s="77"/>
      <c r="BK642" s="77"/>
      <c r="BL642" s="77"/>
      <c r="BM642" s="77"/>
      <c r="BN642" s="158"/>
      <c r="BO642" s="158"/>
    </row>
    <row r="643" spans="1:67" ht="15" x14ac:dyDescent="0.25">
      <c r="A643" s="71"/>
      <c r="B643" s="11"/>
      <c r="C643" s="11"/>
      <c r="D643" s="11"/>
      <c r="E643" s="11"/>
      <c r="F643" s="11"/>
      <c r="G643" s="11"/>
      <c r="H643" s="11"/>
      <c r="I643" s="11"/>
      <c r="J643" s="249"/>
      <c r="K643" s="72"/>
      <c r="L643" s="73"/>
      <c r="M643" s="73"/>
      <c r="N643" s="74"/>
      <c r="O643" s="75"/>
      <c r="P643" s="73"/>
      <c r="Q643" s="76"/>
      <c r="R643" s="76"/>
      <c r="S643" s="76"/>
      <c r="T643" s="76"/>
      <c r="U643" s="76"/>
      <c r="V643" s="76"/>
      <c r="W643" s="76"/>
      <c r="X643" s="76"/>
      <c r="Y643" s="76"/>
      <c r="Z643" s="77"/>
      <c r="AA643" s="77"/>
      <c r="AB643" s="77"/>
      <c r="AC643" s="77"/>
      <c r="AD643" s="77"/>
      <c r="AE643" s="77"/>
      <c r="AF643" s="77"/>
      <c r="AG643" s="77"/>
      <c r="AH643" s="78"/>
      <c r="AI643" s="78"/>
      <c r="AJ643" s="78"/>
      <c r="AK643" s="78"/>
      <c r="AL643" s="78"/>
      <c r="AM643" s="78"/>
      <c r="AN643" s="76"/>
      <c r="AO643" s="76"/>
      <c r="AP643" s="76"/>
      <c r="AQ643" s="76"/>
      <c r="AR643" s="76"/>
      <c r="AS643" s="76"/>
      <c r="AT643" s="76"/>
      <c r="AU643" s="76"/>
      <c r="AV643" s="76"/>
      <c r="AW643" s="79"/>
      <c r="AX643" s="79"/>
      <c r="AY643" s="79"/>
      <c r="AZ643" s="79"/>
      <c r="BA643" s="79"/>
      <c r="BB643" s="11"/>
      <c r="BC643" s="11"/>
      <c r="BD643" s="11"/>
      <c r="BE643" s="73"/>
      <c r="BF643" s="73"/>
      <c r="BG643" s="73"/>
      <c r="BH643" s="77"/>
      <c r="BI643" s="77"/>
      <c r="BJ643" s="77"/>
      <c r="BK643" s="77"/>
      <c r="BL643" s="77"/>
      <c r="BM643" s="77"/>
      <c r="BN643" s="158"/>
      <c r="BO643" s="158"/>
    </row>
    <row r="644" spans="1:67" ht="15" x14ac:dyDescent="0.25">
      <c r="A644" s="71"/>
      <c r="B644" s="11"/>
      <c r="C644" s="11"/>
      <c r="D644" s="11"/>
      <c r="E644" s="11"/>
      <c r="F644" s="11"/>
      <c r="G644" s="11"/>
      <c r="H644" s="11"/>
      <c r="I644" s="11"/>
      <c r="J644" s="249"/>
      <c r="K644" s="72"/>
      <c r="L644" s="73"/>
      <c r="M644" s="73"/>
      <c r="N644" s="74"/>
      <c r="O644" s="75"/>
      <c r="P644" s="73"/>
      <c r="Q644" s="76"/>
      <c r="R644" s="76"/>
      <c r="S644" s="76"/>
      <c r="T644" s="76"/>
      <c r="U644" s="76"/>
      <c r="V644" s="76"/>
      <c r="W644" s="76"/>
      <c r="X644" s="76"/>
      <c r="Y644" s="76"/>
      <c r="Z644" s="77"/>
      <c r="AA644" s="77"/>
      <c r="AB644" s="77"/>
      <c r="AC644" s="77"/>
      <c r="AD644" s="77"/>
      <c r="AE644" s="77"/>
      <c r="AF644" s="77"/>
      <c r="AG644" s="77"/>
      <c r="AH644" s="78"/>
      <c r="AI644" s="78"/>
      <c r="AJ644" s="78"/>
      <c r="AK644" s="78"/>
      <c r="AL644" s="78"/>
      <c r="AM644" s="78"/>
      <c r="AN644" s="76"/>
      <c r="AO644" s="76"/>
      <c r="AP644" s="76"/>
      <c r="AQ644" s="76"/>
      <c r="AR644" s="76"/>
      <c r="AS644" s="76"/>
      <c r="AT644" s="76"/>
      <c r="AU644" s="76"/>
      <c r="AV644" s="76"/>
      <c r="AW644" s="79"/>
      <c r="AX644" s="79"/>
      <c r="AY644" s="79"/>
      <c r="AZ644" s="79"/>
      <c r="BA644" s="79"/>
      <c r="BB644" s="11"/>
      <c r="BC644" s="11"/>
      <c r="BD644" s="11"/>
      <c r="BE644" s="73"/>
      <c r="BF644" s="73"/>
      <c r="BG644" s="73"/>
      <c r="BH644" s="77"/>
      <c r="BI644" s="77"/>
      <c r="BJ644" s="77"/>
      <c r="BK644" s="77"/>
      <c r="BL644" s="77"/>
      <c r="BM644" s="77"/>
      <c r="BN644" s="158"/>
      <c r="BO644" s="158"/>
    </row>
    <row r="645" spans="1:67" ht="15" x14ac:dyDescent="0.25">
      <c r="A645" s="71"/>
      <c r="B645" s="11"/>
      <c r="C645" s="11"/>
      <c r="D645" s="11"/>
      <c r="E645" s="11"/>
      <c r="F645" s="11"/>
      <c r="G645" s="11"/>
      <c r="H645" s="11"/>
      <c r="I645" s="11"/>
      <c r="J645" s="249"/>
      <c r="K645" s="72"/>
      <c r="L645" s="73"/>
      <c r="M645" s="73"/>
      <c r="N645" s="74"/>
      <c r="O645" s="75"/>
      <c r="P645" s="73"/>
      <c r="Q645" s="76"/>
      <c r="R645" s="76"/>
      <c r="S645" s="76"/>
      <c r="T645" s="76"/>
      <c r="U645" s="76"/>
      <c r="V645" s="76"/>
      <c r="W645" s="76"/>
      <c r="X645" s="76"/>
      <c r="Y645" s="76"/>
      <c r="Z645" s="77"/>
      <c r="AA645" s="77"/>
      <c r="AB645" s="77"/>
      <c r="AC645" s="77"/>
      <c r="AD645" s="77"/>
      <c r="AE645" s="77"/>
      <c r="AF645" s="77"/>
      <c r="AG645" s="77"/>
      <c r="AH645" s="78"/>
      <c r="AI645" s="78"/>
      <c r="AJ645" s="78"/>
      <c r="AK645" s="78"/>
      <c r="AL645" s="78"/>
      <c r="AM645" s="78"/>
      <c r="AN645" s="76"/>
      <c r="AO645" s="76"/>
      <c r="AP645" s="76"/>
      <c r="AQ645" s="76"/>
      <c r="AR645" s="76"/>
      <c r="AS645" s="76"/>
      <c r="AT645" s="76"/>
      <c r="AU645" s="76"/>
      <c r="AV645" s="76"/>
      <c r="AW645" s="79"/>
      <c r="AX645" s="79"/>
      <c r="AY645" s="79"/>
      <c r="AZ645" s="79"/>
      <c r="BA645" s="79"/>
      <c r="BB645" s="11"/>
      <c r="BC645" s="11"/>
      <c r="BD645" s="11"/>
      <c r="BE645" s="73"/>
      <c r="BF645" s="73"/>
      <c r="BG645" s="73"/>
      <c r="BH645" s="77"/>
      <c r="BI645" s="77"/>
      <c r="BJ645" s="77"/>
      <c r="BK645" s="77"/>
      <c r="BL645" s="77"/>
      <c r="BM645" s="77"/>
      <c r="BN645" s="158"/>
      <c r="BO645" s="158"/>
    </row>
    <row r="646" spans="1:67" ht="15" x14ac:dyDescent="0.25">
      <c r="A646" s="71"/>
      <c r="B646" s="11"/>
      <c r="C646" s="11"/>
      <c r="D646" s="11"/>
      <c r="E646" s="11"/>
      <c r="F646" s="11"/>
      <c r="G646" s="11"/>
      <c r="H646" s="11"/>
      <c r="I646" s="11"/>
      <c r="J646" s="249"/>
      <c r="K646" s="72"/>
      <c r="L646" s="73"/>
      <c r="M646" s="73"/>
      <c r="N646" s="74"/>
      <c r="O646" s="75"/>
      <c r="P646" s="73"/>
      <c r="Q646" s="76"/>
      <c r="R646" s="76"/>
      <c r="S646" s="76"/>
      <c r="T646" s="76"/>
      <c r="U646" s="76"/>
      <c r="V646" s="76"/>
      <c r="W646" s="76"/>
      <c r="X646" s="76"/>
      <c r="Y646" s="76"/>
      <c r="Z646" s="77"/>
      <c r="AA646" s="77"/>
      <c r="AB646" s="77"/>
      <c r="AC646" s="77"/>
      <c r="AD646" s="77"/>
      <c r="AE646" s="77"/>
      <c r="AF646" s="77"/>
      <c r="AG646" s="77"/>
      <c r="AH646" s="78"/>
      <c r="AI646" s="78"/>
      <c r="AJ646" s="78"/>
      <c r="AK646" s="78"/>
      <c r="AL646" s="78"/>
      <c r="AM646" s="78"/>
      <c r="AN646" s="76"/>
      <c r="AO646" s="76"/>
      <c r="AP646" s="76"/>
      <c r="AQ646" s="76"/>
      <c r="AR646" s="76"/>
      <c r="AS646" s="76"/>
      <c r="AT646" s="76"/>
      <c r="AU646" s="76"/>
      <c r="AV646" s="76"/>
      <c r="AW646" s="79"/>
      <c r="AX646" s="79"/>
      <c r="AY646" s="79"/>
      <c r="AZ646" s="79"/>
      <c r="BA646" s="79"/>
      <c r="BB646" s="11"/>
      <c r="BC646" s="11"/>
      <c r="BD646" s="11"/>
      <c r="BE646" s="73"/>
      <c r="BF646" s="73"/>
      <c r="BG646" s="73"/>
      <c r="BH646" s="77"/>
      <c r="BI646" s="77"/>
      <c r="BJ646" s="77"/>
      <c r="BK646" s="77"/>
      <c r="BL646" s="77"/>
      <c r="BM646" s="77"/>
      <c r="BN646" s="158"/>
      <c r="BO646" s="158"/>
    </row>
    <row r="647" spans="1:67" ht="15" x14ac:dyDescent="0.25">
      <c r="A647" s="71"/>
      <c r="B647" s="11"/>
      <c r="C647" s="11"/>
      <c r="D647" s="11"/>
      <c r="E647" s="11"/>
      <c r="F647" s="11"/>
      <c r="G647" s="11"/>
      <c r="H647" s="11"/>
      <c r="I647" s="11"/>
      <c r="J647" s="249"/>
      <c r="K647" s="72"/>
      <c r="L647" s="73"/>
      <c r="M647" s="73"/>
      <c r="N647" s="74"/>
      <c r="O647" s="75"/>
      <c r="P647" s="73"/>
      <c r="Q647" s="76"/>
      <c r="R647" s="76"/>
      <c r="S647" s="76"/>
      <c r="T647" s="76"/>
      <c r="U647" s="76"/>
      <c r="V647" s="76"/>
      <c r="W647" s="76"/>
      <c r="X647" s="76"/>
      <c r="Y647" s="76"/>
      <c r="Z647" s="77"/>
      <c r="AA647" s="77"/>
      <c r="AB647" s="77"/>
      <c r="AC647" s="77"/>
      <c r="AD647" s="77"/>
      <c r="AE647" s="77"/>
      <c r="AF647" s="77"/>
      <c r="AG647" s="77"/>
      <c r="AH647" s="78"/>
      <c r="AI647" s="78"/>
      <c r="AJ647" s="78"/>
      <c r="AK647" s="78"/>
      <c r="AL647" s="78"/>
      <c r="AM647" s="78"/>
      <c r="AN647" s="76"/>
      <c r="AO647" s="76"/>
      <c r="AP647" s="76"/>
      <c r="AQ647" s="76"/>
      <c r="AR647" s="76"/>
      <c r="AS647" s="76"/>
      <c r="AT647" s="76"/>
      <c r="AU647" s="76"/>
      <c r="AV647" s="76"/>
      <c r="AW647" s="79"/>
      <c r="AX647" s="79"/>
      <c r="AY647" s="79"/>
      <c r="AZ647" s="79"/>
      <c r="BA647" s="79"/>
      <c r="BB647" s="11"/>
      <c r="BC647" s="11"/>
      <c r="BD647" s="11"/>
      <c r="BE647" s="73"/>
      <c r="BF647" s="73"/>
      <c r="BG647" s="73"/>
      <c r="BH647" s="77"/>
      <c r="BI647" s="77"/>
      <c r="BJ647" s="77"/>
      <c r="BK647" s="77"/>
      <c r="BL647" s="77"/>
      <c r="BM647" s="77"/>
      <c r="BN647" s="158"/>
      <c r="BO647" s="158"/>
    </row>
    <row r="648" spans="1:67" ht="15" x14ac:dyDescent="0.25">
      <c r="A648" s="71"/>
      <c r="B648" s="11"/>
      <c r="C648" s="11"/>
      <c r="D648" s="11"/>
      <c r="E648" s="11"/>
      <c r="F648" s="11"/>
      <c r="G648" s="11"/>
      <c r="H648" s="11"/>
      <c r="I648" s="11"/>
      <c r="J648" s="249"/>
      <c r="K648" s="72"/>
      <c r="L648" s="73"/>
      <c r="M648" s="73"/>
      <c r="N648" s="74"/>
      <c r="O648" s="75"/>
      <c r="P648" s="73"/>
      <c r="Q648" s="76"/>
      <c r="R648" s="76"/>
      <c r="S648" s="76"/>
      <c r="T648" s="76"/>
      <c r="U648" s="76"/>
      <c r="V648" s="76"/>
      <c r="W648" s="76"/>
      <c r="X648" s="76"/>
      <c r="Y648" s="76"/>
      <c r="Z648" s="77"/>
      <c r="AA648" s="77"/>
      <c r="AB648" s="77"/>
      <c r="AC648" s="77"/>
      <c r="AD648" s="77"/>
      <c r="AE648" s="77"/>
      <c r="AF648" s="77"/>
      <c r="AG648" s="77"/>
      <c r="AH648" s="78"/>
      <c r="AI648" s="78"/>
      <c r="AJ648" s="78"/>
      <c r="AK648" s="78"/>
      <c r="AL648" s="78"/>
      <c r="AM648" s="78"/>
      <c r="AN648" s="76"/>
      <c r="AO648" s="76"/>
      <c r="AP648" s="76"/>
      <c r="AQ648" s="76"/>
      <c r="AR648" s="76"/>
      <c r="AS648" s="76"/>
      <c r="AT648" s="76"/>
      <c r="AU648" s="76"/>
      <c r="AV648" s="76"/>
      <c r="AW648" s="79"/>
      <c r="AX648" s="79"/>
      <c r="AY648" s="79"/>
      <c r="AZ648" s="79"/>
      <c r="BA648" s="79"/>
      <c r="BB648" s="11"/>
      <c r="BC648" s="11"/>
      <c r="BD648" s="11"/>
      <c r="BE648" s="73"/>
      <c r="BF648" s="73"/>
      <c r="BG648" s="73"/>
      <c r="BH648" s="77"/>
      <c r="BI648" s="77"/>
      <c r="BJ648" s="77"/>
      <c r="BK648" s="77"/>
      <c r="BL648" s="77"/>
      <c r="BM648" s="77"/>
      <c r="BN648" s="158"/>
      <c r="BO648" s="158"/>
    </row>
    <row r="649" spans="1:67" ht="15" x14ac:dyDescent="0.25">
      <c r="A649" s="71"/>
      <c r="B649" s="11"/>
      <c r="C649" s="11"/>
      <c r="D649" s="11"/>
      <c r="E649" s="11"/>
      <c r="F649" s="11"/>
      <c r="G649" s="11"/>
      <c r="H649" s="11"/>
      <c r="I649" s="11"/>
      <c r="J649" s="249"/>
      <c r="K649" s="72"/>
      <c r="L649" s="73"/>
      <c r="M649" s="73"/>
      <c r="N649" s="74"/>
      <c r="O649" s="75"/>
      <c r="P649" s="73"/>
      <c r="Q649" s="76"/>
      <c r="R649" s="76"/>
      <c r="S649" s="76"/>
      <c r="T649" s="76"/>
      <c r="U649" s="76"/>
      <c r="V649" s="76"/>
      <c r="W649" s="76"/>
      <c r="X649" s="76"/>
      <c r="Y649" s="76"/>
      <c r="Z649" s="77"/>
      <c r="AA649" s="77"/>
      <c r="AB649" s="77"/>
      <c r="AC649" s="77"/>
      <c r="AD649" s="77"/>
      <c r="AE649" s="77"/>
      <c r="AF649" s="77"/>
      <c r="AG649" s="77"/>
      <c r="AH649" s="78"/>
      <c r="AI649" s="78"/>
      <c r="AJ649" s="78"/>
      <c r="AK649" s="78"/>
      <c r="AL649" s="78"/>
      <c r="AM649" s="78"/>
      <c r="AN649" s="76"/>
      <c r="AO649" s="76"/>
      <c r="AP649" s="76"/>
      <c r="AQ649" s="76"/>
      <c r="AR649" s="76"/>
      <c r="AS649" s="76"/>
      <c r="AT649" s="76"/>
      <c r="AU649" s="76"/>
      <c r="AV649" s="76"/>
      <c r="AW649" s="79"/>
      <c r="AX649" s="79"/>
      <c r="AY649" s="79"/>
      <c r="AZ649" s="79"/>
      <c r="BA649" s="79"/>
      <c r="BB649" s="11"/>
      <c r="BC649" s="11"/>
      <c r="BD649" s="11"/>
      <c r="BE649" s="73"/>
      <c r="BF649" s="73"/>
      <c r="BG649" s="73"/>
      <c r="BH649" s="77"/>
      <c r="BI649" s="77"/>
      <c r="BJ649" s="77"/>
      <c r="BK649" s="77"/>
      <c r="BL649" s="77"/>
      <c r="BM649" s="77"/>
      <c r="BN649" s="158"/>
      <c r="BO649" s="158"/>
    </row>
    <row r="650" spans="1:67" ht="15" x14ac:dyDescent="0.25">
      <c r="A650" s="71"/>
      <c r="B650" s="11"/>
      <c r="C650" s="11"/>
      <c r="D650" s="11"/>
      <c r="E650" s="11"/>
      <c r="F650" s="11"/>
      <c r="G650" s="11"/>
      <c r="H650" s="11"/>
      <c r="I650" s="11"/>
      <c r="J650" s="249"/>
      <c r="K650" s="72"/>
      <c r="L650" s="73"/>
      <c r="M650" s="73"/>
      <c r="N650" s="74"/>
      <c r="O650" s="75"/>
      <c r="P650" s="73"/>
      <c r="Q650" s="76"/>
      <c r="R650" s="76"/>
      <c r="S650" s="76"/>
      <c r="T650" s="76"/>
      <c r="U650" s="76"/>
      <c r="V650" s="76"/>
      <c r="W650" s="76"/>
      <c r="X650" s="76"/>
      <c r="Y650" s="76"/>
      <c r="Z650" s="77"/>
      <c r="AA650" s="77"/>
      <c r="AB650" s="77"/>
      <c r="AC650" s="77"/>
      <c r="AD650" s="77"/>
      <c r="AE650" s="77"/>
      <c r="AF650" s="77"/>
      <c r="AG650" s="77"/>
      <c r="AH650" s="78"/>
      <c r="AI650" s="78"/>
      <c r="AJ650" s="78"/>
      <c r="AK650" s="78"/>
      <c r="AL650" s="78"/>
      <c r="AM650" s="78"/>
      <c r="AN650" s="76"/>
      <c r="AO650" s="76"/>
      <c r="AP650" s="76"/>
      <c r="AQ650" s="76"/>
      <c r="AR650" s="76"/>
      <c r="AS650" s="76"/>
      <c r="AT650" s="76"/>
      <c r="AU650" s="76"/>
      <c r="AV650" s="76"/>
      <c r="AW650" s="79"/>
      <c r="AX650" s="79"/>
      <c r="AY650" s="79"/>
      <c r="AZ650" s="79"/>
      <c r="BA650" s="79"/>
      <c r="BB650" s="11"/>
      <c r="BC650" s="11"/>
      <c r="BD650" s="11"/>
      <c r="BE650" s="73"/>
      <c r="BF650" s="73"/>
      <c r="BG650" s="73"/>
      <c r="BH650" s="77"/>
      <c r="BI650" s="77"/>
      <c r="BJ650" s="77"/>
      <c r="BK650" s="77"/>
      <c r="BL650" s="77"/>
      <c r="BM650" s="77"/>
      <c r="BN650" s="158"/>
      <c r="BO650" s="158"/>
    </row>
    <row r="651" spans="1:67" ht="15" x14ac:dyDescent="0.25">
      <c r="A651" s="71"/>
      <c r="B651" s="11"/>
      <c r="C651" s="11"/>
      <c r="D651" s="11"/>
      <c r="E651" s="11"/>
      <c r="F651" s="11"/>
      <c r="G651" s="11"/>
      <c r="H651" s="11"/>
      <c r="I651" s="11"/>
      <c r="J651" s="249"/>
      <c r="K651" s="72"/>
      <c r="L651" s="73"/>
      <c r="M651" s="73"/>
      <c r="N651" s="74"/>
      <c r="O651" s="75"/>
      <c r="P651" s="73"/>
      <c r="Q651" s="76"/>
      <c r="R651" s="76"/>
      <c r="S651" s="76"/>
      <c r="T651" s="76"/>
      <c r="U651" s="76"/>
      <c r="V651" s="76"/>
      <c r="W651" s="76"/>
      <c r="X651" s="76"/>
      <c r="Y651" s="76"/>
      <c r="Z651" s="77"/>
      <c r="AA651" s="77"/>
      <c r="AB651" s="77"/>
      <c r="AC651" s="77"/>
      <c r="AD651" s="77"/>
      <c r="AE651" s="77"/>
      <c r="AF651" s="77"/>
      <c r="AG651" s="77"/>
      <c r="AH651" s="78"/>
      <c r="AI651" s="78"/>
      <c r="AJ651" s="78"/>
      <c r="AK651" s="78"/>
      <c r="AL651" s="78"/>
      <c r="AM651" s="78"/>
      <c r="AN651" s="76"/>
      <c r="AO651" s="76"/>
      <c r="AP651" s="76"/>
      <c r="AQ651" s="76"/>
      <c r="AR651" s="76"/>
      <c r="AS651" s="76"/>
      <c r="AT651" s="76"/>
      <c r="AU651" s="76"/>
      <c r="AV651" s="76"/>
      <c r="AW651" s="79"/>
      <c r="AX651" s="79"/>
      <c r="AY651" s="79"/>
      <c r="AZ651" s="79"/>
      <c r="BA651" s="79"/>
      <c r="BB651" s="11"/>
      <c r="BC651" s="11"/>
      <c r="BD651" s="11"/>
      <c r="BE651" s="73"/>
      <c r="BF651" s="73"/>
      <c r="BG651" s="73"/>
      <c r="BH651" s="77"/>
      <c r="BI651" s="77"/>
      <c r="BJ651" s="77"/>
      <c r="BK651" s="77"/>
      <c r="BL651" s="77"/>
      <c r="BM651" s="77"/>
      <c r="BN651" s="158"/>
      <c r="BO651" s="158"/>
    </row>
    <row r="652" spans="1:67" ht="15" x14ac:dyDescent="0.25">
      <c r="A652" s="71"/>
      <c r="B652" s="11"/>
      <c r="C652" s="11"/>
      <c r="D652" s="11"/>
      <c r="E652" s="11"/>
      <c r="F652" s="11"/>
      <c r="G652" s="11"/>
      <c r="H652" s="11"/>
      <c r="I652" s="11"/>
      <c r="J652" s="249"/>
      <c r="K652" s="72"/>
      <c r="L652" s="73"/>
      <c r="M652" s="73"/>
      <c r="N652" s="74"/>
      <c r="O652" s="75"/>
      <c r="P652" s="73"/>
      <c r="Q652" s="76"/>
      <c r="R652" s="76"/>
      <c r="S652" s="76"/>
      <c r="T652" s="76"/>
      <c r="U652" s="76"/>
      <c r="V652" s="76"/>
      <c r="W652" s="76"/>
      <c r="X652" s="76"/>
      <c r="Y652" s="76"/>
      <c r="Z652" s="77"/>
      <c r="AA652" s="77"/>
      <c r="AB652" s="77"/>
      <c r="AC652" s="77"/>
      <c r="AD652" s="77"/>
      <c r="AE652" s="77"/>
      <c r="AF652" s="77"/>
      <c r="AG652" s="77"/>
      <c r="AH652" s="78"/>
      <c r="AI652" s="78"/>
      <c r="AJ652" s="78"/>
      <c r="AK652" s="78"/>
      <c r="AL652" s="78"/>
      <c r="AM652" s="78"/>
      <c r="AN652" s="76"/>
      <c r="AO652" s="76"/>
      <c r="AP652" s="76"/>
      <c r="AQ652" s="76"/>
      <c r="AR652" s="76"/>
      <c r="AS652" s="76"/>
      <c r="AT652" s="76"/>
      <c r="AU652" s="76"/>
      <c r="AV652" s="76"/>
      <c r="AW652" s="79"/>
      <c r="AX652" s="79"/>
      <c r="AY652" s="79"/>
      <c r="AZ652" s="79"/>
      <c r="BA652" s="79"/>
      <c r="BB652" s="11"/>
      <c r="BC652" s="11"/>
      <c r="BD652" s="11"/>
      <c r="BE652" s="73"/>
      <c r="BF652" s="73"/>
      <c r="BG652" s="73"/>
      <c r="BH652" s="77"/>
      <c r="BI652" s="77"/>
      <c r="BJ652" s="77"/>
      <c r="BK652" s="77"/>
      <c r="BL652" s="77"/>
      <c r="BM652" s="77"/>
      <c r="BN652" s="158"/>
      <c r="BO652" s="158"/>
    </row>
    <row r="653" spans="1:67" ht="15" x14ac:dyDescent="0.25">
      <c r="A653" s="71"/>
      <c r="B653" s="11"/>
      <c r="C653" s="11"/>
      <c r="D653" s="11"/>
      <c r="E653" s="11"/>
      <c r="F653" s="11"/>
      <c r="G653" s="11"/>
      <c r="H653" s="11"/>
      <c r="I653" s="11"/>
      <c r="J653" s="249"/>
      <c r="K653" s="72"/>
      <c r="L653" s="73"/>
      <c r="M653" s="73"/>
      <c r="N653" s="74"/>
      <c r="O653" s="75"/>
      <c r="P653" s="73"/>
      <c r="Q653" s="76"/>
      <c r="R653" s="76"/>
      <c r="S653" s="76"/>
      <c r="T653" s="76"/>
      <c r="U653" s="76"/>
      <c r="V653" s="76"/>
      <c r="W653" s="76"/>
      <c r="X653" s="76"/>
      <c r="Y653" s="76"/>
      <c r="Z653" s="77"/>
      <c r="AA653" s="77"/>
      <c r="AB653" s="77"/>
      <c r="AC653" s="77"/>
      <c r="AD653" s="77"/>
      <c r="AE653" s="77"/>
      <c r="AF653" s="77"/>
      <c r="AG653" s="77"/>
      <c r="AH653" s="78"/>
      <c r="AI653" s="78"/>
      <c r="AJ653" s="78"/>
      <c r="AK653" s="78"/>
      <c r="AL653" s="78"/>
      <c r="AM653" s="78"/>
      <c r="AN653" s="76"/>
      <c r="AO653" s="76"/>
      <c r="AP653" s="76"/>
      <c r="AQ653" s="76"/>
      <c r="AR653" s="76"/>
      <c r="AS653" s="76"/>
      <c r="AT653" s="76"/>
      <c r="AU653" s="76"/>
      <c r="AV653" s="76"/>
      <c r="AW653" s="79"/>
      <c r="AX653" s="79"/>
      <c r="AY653" s="79"/>
      <c r="AZ653" s="79"/>
      <c r="BA653" s="79"/>
      <c r="BB653" s="11"/>
      <c r="BC653" s="11"/>
      <c r="BD653" s="11"/>
      <c r="BE653" s="73"/>
      <c r="BF653" s="73"/>
      <c r="BG653" s="73"/>
      <c r="BH653" s="77"/>
      <c r="BI653" s="77"/>
      <c r="BJ653" s="77"/>
      <c r="BK653" s="77"/>
      <c r="BL653" s="77"/>
      <c r="BM653" s="77"/>
      <c r="BN653" s="158"/>
      <c r="BO653" s="158"/>
    </row>
    <row r="654" spans="1:67" ht="15" x14ac:dyDescent="0.25">
      <c r="A654" s="71"/>
      <c r="B654" s="11"/>
      <c r="C654" s="11"/>
      <c r="D654" s="11"/>
      <c r="E654" s="11"/>
      <c r="F654" s="11"/>
      <c r="G654" s="11"/>
      <c r="H654" s="11"/>
      <c r="I654" s="11"/>
      <c r="J654" s="249"/>
      <c r="K654" s="72"/>
      <c r="L654" s="73"/>
      <c r="M654" s="73"/>
      <c r="N654" s="74"/>
      <c r="O654" s="75"/>
      <c r="P654" s="73"/>
      <c r="Q654" s="76"/>
      <c r="R654" s="76"/>
      <c r="S654" s="76"/>
      <c r="T654" s="76"/>
      <c r="U654" s="76"/>
      <c r="V654" s="76"/>
      <c r="W654" s="76"/>
      <c r="X654" s="76"/>
      <c r="Y654" s="76"/>
      <c r="Z654" s="77"/>
      <c r="AA654" s="77"/>
      <c r="AB654" s="77"/>
      <c r="AC654" s="77"/>
      <c r="AD654" s="77"/>
      <c r="AE654" s="77"/>
      <c r="AF654" s="77"/>
      <c r="AG654" s="77"/>
      <c r="AH654" s="78"/>
      <c r="AI654" s="78"/>
      <c r="AJ654" s="78"/>
      <c r="AK654" s="78"/>
      <c r="AL654" s="78"/>
      <c r="AM654" s="78"/>
      <c r="AN654" s="76"/>
      <c r="AO654" s="76"/>
      <c r="AP654" s="76"/>
      <c r="AQ654" s="76"/>
      <c r="AR654" s="76"/>
      <c r="AS654" s="76"/>
      <c r="AT654" s="76"/>
      <c r="AU654" s="76"/>
      <c r="AV654" s="76"/>
      <c r="AW654" s="79"/>
      <c r="AX654" s="79"/>
      <c r="AY654" s="79"/>
      <c r="AZ654" s="79"/>
      <c r="BA654" s="79"/>
      <c r="BB654" s="11"/>
      <c r="BC654" s="11"/>
      <c r="BD654" s="11"/>
      <c r="BE654" s="73"/>
      <c r="BF654" s="73"/>
      <c r="BG654" s="73"/>
      <c r="BH654" s="77"/>
      <c r="BI654" s="77"/>
      <c r="BJ654" s="77"/>
      <c r="BK654" s="77"/>
      <c r="BL654" s="77"/>
      <c r="BM654" s="77"/>
      <c r="BN654" s="158"/>
      <c r="BO654" s="158"/>
    </row>
    <row r="655" spans="1:67" ht="15" x14ac:dyDescent="0.25">
      <c r="A655" s="71"/>
      <c r="B655" s="11"/>
      <c r="C655" s="11"/>
      <c r="D655" s="11"/>
      <c r="E655" s="11"/>
      <c r="F655" s="11"/>
      <c r="G655" s="11"/>
      <c r="H655" s="11"/>
      <c r="I655" s="11"/>
      <c r="J655" s="249"/>
      <c r="K655" s="72"/>
      <c r="L655" s="73"/>
      <c r="M655" s="73"/>
      <c r="N655" s="74"/>
      <c r="O655" s="75"/>
      <c r="P655" s="73"/>
      <c r="Q655" s="76"/>
      <c r="R655" s="76"/>
      <c r="S655" s="76"/>
      <c r="T655" s="76"/>
      <c r="U655" s="76"/>
      <c r="V655" s="76"/>
      <c r="W655" s="76"/>
      <c r="X655" s="76"/>
      <c r="Y655" s="76"/>
      <c r="Z655" s="77"/>
      <c r="AA655" s="77"/>
      <c r="AB655" s="77"/>
      <c r="AC655" s="77"/>
      <c r="AD655" s="77"/>
      <c r="AE655" s="77"/>
      <c r="AF655" s="77"/>
      <c r="AG655" s="77"/>
      <c r="AH655" s="78"/>
      <c r="AI655" s="78"/>
      <c r="AJ655" s="78"/>
      <c r="AK655" s="78"/>
      <c r="AL655" s="78"/>
      <c r="AM655" s="78"/>
      <c r="AN655" s="76"/>
      <c r="AO655" s="76"/>
      <c r="AP655" s="76"/>
      <c r="AQ655" s="76"/>
      <c r="AR655" s="76"/>
      <c r="AS655" s="76"/>
      <c r="AT655" s="76"/>
      <c r="AU655" s="76"/>
      <c r="AV655" s="76"/>
      <c r="AW655" s="79"/>
      <c r="AX655" s="79"/>
      <c r="AY655" s="79"/>
      <c r="AZ655" s="79"/>
      <c r="BA655" s="79"/>
      <c r="BB655" s="11"/>
      <c r="BC655" s="11"/>
      <c r="BD655" s="11"/>
      <c r="BE655" s="73"/>
      <c r="BF655" s="73"/>
      <c r="BG655" s="73"/>
      <c r="BH655" s="77"/>
      <c r="BI655" s="77"/>
      <c r="BJ655" s="77"/>
      <c r="BK655" s="77"/>
      <c r="BL655" s="77"/>
      <c r="BM655" s="77"/>
      <c r="BN655" s="158"/>
      <c r="BO655" s="158"/>
    </row>
    <row r="656" spans="1:67" ht="15" x14ac:dyDescent="0.25">
      <c r="A656" s="71"/>
      <c r="B656" s="11"/>
      <c r="C656" s="11"/>
      <c r="D656" s="11"/>
      <c r="E656" s="11"/>
      <c r="F656" s="11"/>
      <c r="G656" s="11"/>
      <c r="H656" s="11"/>
      <c r="I656" s="11"/>
      <c r="J656" s="249"/>
      <c r="K656" s="72"/>
      <c r="L656" s="73"/>
      <c r="M656" s="73"/>
      <c r="N656" s="74"/>
      <c r="O656" s="75"/>
      <c r="P656" s="73"/>
      <c r="Q656" s="76"/>
      <c r="R656" s="76"/>
      <c r="S656" s="76"/>
      <c r="T656" s="76"/>
      <c r="U656" s="76"/>
      <c r="V656" s="76"/>
      <c r="W656" s="76"/>
      <c r="X656" s="76"/>
      <c r="Y656" s="76"/>
      <c r="Z656" s="77"/>
      <c r="AA656" s="77"/>
      <c r="AB656" s="77"/>
      <c r="AC656" s="77"/>
      <c r="AD656" s="77"/>
      <c r="AE656" s="77"/>
      <c r="AF656" s="77"/>
      <c r="AG656" s="77"/>
      <c r="AH656" s="78"/>
      <c r="AI656" s="78"/>
      <c r="AJ656" s="78"/>
      <c r="AK656" s="78"/>
      <c r="AL656" s="78"/>
      <c r="AM656" s="78"/>
      <c r="AN656" s="76"/>
      <c r="AO656" s="76"/>
      <c r="AP656" s="76"/>
      <c r="AQ656" s="76"/>
      <c r="AR656" s="76"/>
      <c r="AS656" s="76"/>
      <c r="AT656" s="76"/>
      <c r="AU656" s="76"/>
      <c r="AV656" s="76"/>
      <c r="AW656" s="79"/>
      <c r="AX656" s="79"/>
      <c r="AY656" s="79"/>
      <c r="AZ656" s="79"/>
      <c r="BA656" s="79"/>
      <c r="BB656" s="11"/>
      <c r="BC656" s="11"/>
      <c r="BD656" s="11"/>
      <c r="BE656" s="73"/>
      <c r="BF656" s="73"/>
      <c r="BG656" s="73"/>
      <c r="BH656" s="77"/>
      <c r="BI656" s="77"/>
      <c r="BJ656" s="77"/>
      <c r="BK656" s="77"/>
      <c r="BL656" s="77"/>
      <c r="BM656" s="77"/>
      <c r="BN656" s="158"/>
      <c r="BO656" s="158"/>
    </row>
    <row r="657" spans="1:67" ht="15" x14ac:dyDescent="0.25">
      <c r="A657" s="71"/>
      <c r="B657" s="11"/>
      <c r="C657" s="11"/>
      <c r="D657" s="11"/>
      <c r="E657" s="11"/>
      <c r="F657" s="11"/>
      <c r="G657" s="11"/>
      <c r="H657" s="11"/>
      <c r="I657" s="11"/>
      <c r="J657" s="249"/>
      <c r="K657" s="72"/>
      <c r="L657" s="73"/>
      <c r="M657" s="73"/>
      <c r="N657" s="74"/>
      <c r="O657" s="75"/>
      <c r="P657" s="73"/>
      <c r="Q657" s="76"/>
      <c r="R657" s="76"/>
      <c r="S657" s="76"/>
      <c r="T657" s="76"/>
      <c r="U657" s="76"/>
      <c r="V657" s="76"/>
      <c r="W657" s="76"/>
      <c r="X657" s="76"/>
      <c r="Y657" s="76"/>
      <c r="Z657" s="77"/>
      <c r="AA657" s="77"/>
      <c r="AB657" s="77"/>
      <c r="AC657" s="77"/>
      <c r="AD657" s="77"/>
      <c r="AE657" s="77"/>
      <c r="AF657" s="77"/>
      <c r="AG657" s="77"/>
      <c r="AH657" s="78"/>
      <c r="AI657" s="78"/>
      <c r="AJ657" s="78"/>
      <c r="AK657" s="78"/>
      <c r="AL657" s="78"/>
      <c r="AM657" s="78"/>
      <c r="AN657" s="76"/>
      <c r="AO657" s="76"/>
      <c r="AP657" s="76"/>
      <c r="AQ657" s="76"/>
      <c r="AR657" s="76"/>
      <c r="AS657" s="76"/>
      <c r="AT657" s="76"/>
      <c r="AU657" s="76"/>
      <c r="AV657" s="76"/>
      <c r="AW657" s="79"/>
      <c r="AX657" s="79"/>
      <c r="AY657" s="79"/>
      <c r="AZ657" s="79"/>
      <c r="BA657" s="79"/>
      <c r="BB657" s="11"/>
      <c r="BC657" s="11"/>
      <c r="BD657" s="11"/>
      <c r="BE657" s="73"/>
      <c r="BF657" s="73"/>
      <c r="BG657" s="73"/>
      <c r="BH657" s="77"/>
      <c r="BI657" s="77"/>
      <c r="BJ657" s="77"/>
      <c r="BK657" s="77"/>
      <c r="BL657" s="77"/>
      <c r="BM657" s="77"/>
      <c r="BN657" s="158"/>
      <c r="BO657" s="158"/>
    </row>
    <row r="658" spans="1:67" ht="15" x14ac:dyDescent="0.25">
      <c r="A658" s="71"/>
      <c r="B658" s="11"/>
      <c r="C658" s="11"/>
      <c r="D658" s="11"/>
      <c r="E658" s="11"/>
      <c r="F658" s="11"/>
      <c r="G658" s="11"/>
      <c r="H658" s="11"/>
      <c r="I658" s="11"/>
      <c r="J658" s="249"/>
      <c r="K658" s="72"/>
      <c r="L658" s="73"/>
      <c r="M658" s="73"/>
      <c r="N658" s="74"/>
      <c r="O658" s="75"/>
      <c r="P658" s="73"/>
      <c r="Q658" s="76"/>
      <c r="R658" s="76"/>
      <c r="S658" s="76"/>
      <c r="T658" s="76"/>
      <c r="U658" s="76"/>
      <c r="V658" s="76"/>
      <c r="W658" s="76"/>
      <c r="X658" s="76"/>
      <c r="Y658" s="76"/>
      <c r="Z658" s="77"/>
      <c r="AA658" s="77"/>
      <c r="AB658" s="77"/>
      <c r="AC658" s="77"/>
      <c r="AD658" s="77"/>
      <c r="AE658" s="77"/>
      <c r="AF658" s="77"/>
      <c r="AG658" s="77"/>
      <c r="AH658" s="78"/>
      <c r="AI658" s="78"/>
      <c r="AJ658" s="78"/>
      <c r="AK658" s="78"/>
      <c r="AL658" s="78"/>
      <c r="AM658" s="78"/>
      <c r="AN658" s="76"/>
      <c r="AO658" s="76"/>
      <c r="AP658" s="76"/>
      <c r="AQ658" s="76"/>
      <c r="AR658" s="76"/>
      <c r="AS658" s="76"/>
      <c r="AT658" s="76"/>
      <c r="AU658" s="76"/>
      <c r="AV658" s="76"/>
      <c r="AW658" s="79"/>
      <c r="AX658" s="79"/>
      <c r="AY658" s="79"/>
      <c r="AZ658" s="79"/>
      <c r="BA658" s="79"/>
      <c r="BB658" s="11"/>
      <c r="BC658" s="11"/>
      <c r="BD658" s="11"/>
      <c r="BE658" s="73"/>
      <c r="BF658" s="73"/>
      <c r="BG658" s="73"/>
      <c r="BH658" s="77"/>
      <c r="BI658" s="77"/>
      <c r="BJ658" s="77"/>
      <c r="BK658" s="77"/>
      <c r="BL658" s="77"/>
      <c r="BM658" s="77"/>
      <c r="BN658" s="158"/>
      <c r="BO658" s="158"/>
    </row>
    <row r="659" spans="1:67" ht="15" x14ac:dyDescent="0.25">
      <c r="A659" s="71"/>
      <c r="B659" s="11"/>
      <c r="C659" s="11"/>
      <c r="D659" s="11"/>
      <c r="E659" s="11"/>
      <c r="F659" s="11"/>
      <c r="G659" s="11"/>
      <c r="H659" s="11"/>
      <c r="I659" s="11"/>
      <c r="J659" s="249"/>
      <c r="K659" s="72"/>
      <c r="L659" s="73"/>
      <c r="M659" s="73"/>
      <c r="N659" s="74"/>
      <c r="O659" s="75"/>
      <c r="P659" s="73"/>
      <c r="Q659" s="76"/>
      <c r="R659" s="76"/>
      <c r="S659" s="76"/>
      <c r="T659" s="76"/>
      <c r="U659" s="76"/>
      <c r="V659" s="76"/>
      <c r="W659" s="76"/>
      <c r="X659" s="76"/>
      <c r="Y659" s="76"/>
      <c r="Z659" s="77"/>
      <c r="AA659" s="77"/>
      <c r="AB659" s="77"/>
      <c r="AC659" s="77"/>
      <c r="AD659" s="77"/>
      <c r="AE659" s="77"/>
      <c r="AF659" s="77"/>
      <c r="AG659" s="77"/>
      <c r="AH659" s="78"/>
      <c r="AI659" s="78"/>
      <c r="AJ659" s="78"/>
      <c r="AK659" s="78"/>
      <c r="AL659" s="78"/>
      <c r="AM659" s="78"/>
      <c r="AN659" s="76"/>
      <c r="AO659" s="76"/>
      <c r="AP659" s="76"/>
      <c r="AQ659" s="76"/>
      <c r="AR659" s="76"/>
      <c r="AS659" s="76"/>
      <c r="AT659" s="76"/>
      <c r="AU659" s="76"/>
      <c r="AV659" s="76"/>
      <c r="AW659" s="79"/>
      <c r="AX659" s="79"/>
      <c r="AY659" s="79"/>
      <c r="AZ659" s="79"/>
      <c r="BA659" s="79"/>
      <c r="BB659" s="11"/>
      <c r="BC659" s="11"/>
      <c r="BD659" s="11"/>
      <c r="BE659" s="73"/>
      <c r="BF659" s="73"/>
      <c r="BG659" s="73"/>
      <c r="BH659" s="77"/>
      <c r="BI659" s="77"/>
      <c r="BJ659" s="77"/>
      <c r="BK659" s="77"/>
      <c r="BL659" s="77"/>
      <c r="BM659" s="77"/>
      <c r="BN659" s="158"/>
      <c r="BO659" s="158"/>
    </row>
    <row r="660" spans="1:67" ht="15" x14ac:dyDescent="0.25">
      <c r="A660" s="71"/>
      <c r="B660" s="11"/>
      <c r="C660" s="11"/>
      <c r="D660" s="11"/>
      <c r="E660" s="11"/>
      <c r="F660" s="11"/>
      <c r="G660" s="11"/>
      <c r="H660" s="11"/>
      <c r="I660" s="11"/>
      <c r="J660" s="249"/>
      <c r="K660" s="72"/>
      <c r="L660" s="73"/>
      <c r="M660" s="73"/>
      <c r="N660" s="74"/>
      <c r="O660" s="75"/>
      <c r="P660" s="73"/>
      <c r="Q660" s="76"/>
      <c r="R660" s="76"/>
      <c r="S660" s="76"/>
      <c r="T660" s="76"/>
      <c r="U660" s="76"/>
      <c r="V660" s="76"/>
      <c r="W660" s="76"/>
      <c r="X660" s="76"/>
      <c r="Y660" s="76"/>
      <c r="Z660" s="77"/>
      <c r="AA660" s="77"/>
      <c r="AB660" s="77"/>
      <c r="AC660" s="77"/>
      <c r="AD660" s="77"/>
      <c r="AE660" s="77"/>
      <c r="AF660" s="77"/>
      <c r="AG660" s="77"/>
      <c r="AH660" s="78"/>
      <c r="AI660" s="78"/>
      <c r="AJ660" s="78"/>
      <c r="AK660" s="78"/>
      <c r="AL660" s="78"/>
      <c r="AM660" s="78"/>
      <c r="AN660" s="76"/>
      <c r="AO660" s="76"/>
      <c r="AP660" s="76"/>
      <c r="AQ660" s="76"/>
      <c r="AR660" s="76"/>
      <c r="AS660" s="76"/>
      <c r="AT660" s="76"/>
      <c r="AU660" s="76"/>
      <c r="AV660" s="76"/>
      <c r="AW660" s="79"/>
      <c r="AX660" s="79"/>
      <c r="AY660" s="79"/>
      <c r="AZ660" s="79"/>
      <c r="BA660" s="79"/>
      <c r="BB660" s="11"/>
      <c r="BC660" s="11"/>
      <c r="BD660" s="11"/>
      <c r="BE660" s="73"/>
      <c r="BF660" s="73"/>
      <c r="BG660" s="73"/>
      <c r="BH660" s="77"/>
      <c r="BI660" s="77"/>
      <c r="BJ660" s="77"/>
      <c r="BK660" s="77"/>
      <c r="BL660" s="77"/>
      <c r="BM660" s="77"/>
      <c r="BN660" s="158"/>
      <c r="BO660" s="158"/>
    </row>
    <row r="661" spans="1:67" ht="15" x14ac:dyDescent="0.25">
      <c r="A661" s="71"/>
      <c r="B661" s="11"/>
      <c r="C661" s="11"/>
      <c r="D661" s="11"/>
      <c r="E661" s="11"/>
      <c r="F661" s="11"/>
      <c r="G661" s="11"/>
      <c r="H661" s="11"/>
      <c r="I661" s="11"/>
      <c r="J661" s="249"/>
      <c r="K661" s="72"/>
      <c r="L661" s="73"/>
      <c r="M661" s="73"/>
      <c r="N661" s="74"/>
      <c r="O661" s="75"/>
      <c r="P661" s="73"/>
      <c r="Q661" s="76"/>
      <c r="R661" s="76"/>
      <c r="S661" s="76"/>
      <c r="T661" s="76"/>
      <c r="U661" s="76"/>
      <c r="V661" s="76"/>
      <c r="W661" s="76"/>
      <c r="X661" s="76"/>
      <c r="Y661" s="76"/>
      <c r="Z661" s="77"/>
      <c r="AA661" s="77"/>
      <c r="AB661" s="77"/>
      <c r="AC661" s="77"/>
      <c r="AD661" s="77"/>
      <c r="AE661" s="77"/>
      <c r="AF661" s="77"/>
      <c r="AG661" s="77"/>
      <c r="AH661" s="78"/>
      <c r="AI661" s="78"/>
      <c r="AJ661" s="78"/>
      <c r="AK661" s="78"/>
      <c r="AL661" s="78"/>
      <c r="AM661" s="78"/>
      <c r="AN661" s="76"/>
      <c r="AO661" s="76"/>
      <c r="AP661" s="76"/>
      <c r="AQ661" s="76"/>
      <c r="AR661" s="76"/>
      <c r="AS661" s="76"/>
      <c r="AT661" s="76"/>
      <c r="AU661" s="76"/>
      <c r="AV661" s="76"/>
      <c r="AW661" s="79"/>
      <c r="AX661" s="79"/>
      <c r="AY661" s="79"/>
      <c r="AZ661" s="79"/>
      <c r="BA661" s="79"/>
      <c r="BB661" s="11"/>
      <c r="BC661" s="11"/>
      <c r="BD661" s="11"/>
      <c r="BE661" s="73"/>
      <c r="BF661" s="73"/>
      <c r="BG661" s="73"/>
      <c r="BH661" s="77"/>
      <c r="BI661" s="77"/>
      <c r="BJ661" s="77"/>
      <c r="BK661" s="77"/>
      <c r="BL661" s="77"/>
      <c r="BM661" s="77"/>
      <c r="BN661" s="158"/>
      <c r="BO661" s="158"/>
    </row>
    <row r="662" spans="1:67" ht="15" x14ac:dyDescent="0.25">
      <c r="A662" s="71"/>
      <c r="B662" s="11"/>
      <c r="C662" s="11"/>
      <c r="D662" s="11"/>
      <c r="E662" s="11"/>
      <c r="F662" s="11"/>
      <c r="G662" s="11"/>
      <c r="H662" s="11"/>
      <c r="I662" s="11"/>
      <c r="J662" s="249"/>
      <c r="K662" s="72"/>
      <c r="L662" s="73"/>
      <c r="M662" s="73"/>
      <c r="N662" s="74"/>
      <c r="O662" s="75"/>
      <c r="P662" s="73"/>
      <c r="Q662" s="76"/>
      <c r="R662" s="76"/>
      <c r="S662" s="76"/>
      <c r="T662" s="76"/>
      <c r="U662" s="76"/>
      <c r="V662" s="76"/>
      <c r="W662" s="76"/>
      <c r="X662" s="76"/>
      <c r="Y662" s="76"/>
      <c r="Z662" s="77"/>
      <c r="AA662" s="77"/>
      <c r="AB662" s="77"/>
      <c r="AC662" s="77"/>
      <c r="AD662" s="77"/>
      <c r="AE662" s="77"/>
      <c r="AF662" s="77"/>
      <c r="AG662" s="77"/>
      <c r="AH662" s="78"/>
      <c r="AI662" s="78"/>
      <c r="AJ662" s="78"/>
      <c r="AK662" s="78"/>
      <c r="AL662" s="78"/>
      <c r="AM662" s="78"/>
      <c r="AN662" s="76"/>
      <c r="AO662" s="76"/>
      <c r="AP662" s="76"/>
      <c r="AQ662" s="76"/>
      <c r="AR662" s="76"/>
      <c r="AS662" s="76"/>
      <c r="AT662" s="76"/>
      <c r="AU662" s="76"/>
      <c r="AV662" s="76"/>
      <c r="AW662" s="79"/>
      <c r="AX662" s="79"/>
      <c r="AY662" s="79"/>
      <c r="AZ662" s="79"/>
      <c r="BA662" s="79"/>
      <c r="BB662" s="11"/>
      <c r="BC662" s="11"/>
      <c r="BD662" s="11"/>
      <c r="BE662" s="73"/>
      <c r="BF662" s="73"/>
      <c r="BG662" s="73"/>
      <c r="BH662" s="77"/>
      <c r="BI662" s="77"/>
      <c r="BJ662" s="77"/>
      <c r="BK662" s="77"/>
      <c r="BL662" s="77"/>
      <c r="BM662" s="77"/>
      <c r="BN662" s="158"/>
      <c r="BO662" s="158"/>
    </row>
    <row r="663" spans="1:67" ht="15" x14ac:dyDescent="0.25">
      <c r="A663" s="71"/>
      <c r="B663" s="11"/>
      <c r="C663" s="11"/>
      <c r="D663" s="11"/>
      <c r="E663" s="11"/>
      <c r="F663" s="11"/>
      <c r="G663" s="11"/>
      <c r="H663" s="11"/>
      <c r="I663" s="11"/>
      <c r="J663" s="249"/>
      <c r="K663" s="72"/>
      <c r="L663" s="73"/>
      <c r="M663" s="73"/>
      <c r="N663" s="74"/>
      <c r="O663" s="75"/>
      <c r="P663" s="73"/>
      <c r="Q663" s="76"/>
      <c r="R663" s="76"/>
      <c r="S663" s="76"/>
      <c r="T663" s="76"/>
      <c r="U663" s="76"/>
      <c r="V663" s="76"/>
      <c r="W663" s="76"/>
      <c r="X663" s="76"/>
      <c r="Y663" s="76"/>
      <c r="Z663" s="77"/>
      <c r="AA663" s="77"/>
      <c r="AB663" s="77"/>
      <c r="AC663" s="77"/>
      <c r="AD663" s="77"/>
      <c r="AE663" s="77"/>
      <c r="AF663" s="77"/>
      <c r="AG663" s="77"/>
      <c r="AH663" s="78"/>
      <c r="AI663" s="78"/>
      <c r="AJ663" s="78"/>
      <c r="AK663" s="78"/>
      <c r="AL663" s="78"/>
      <c r="AM663" s="78"/>
      <c r="AN663" s="76"/>
      <c r="AO663" s="76"/>
      <c r="AP663" s="76"/>
      <c r="AQ663" s="76"/>
      <c r="AR663" s="76"/>
      <c r="AS663" s="76"/>
      <c r="AT663" s="76"/>
      <c r="AU663" s="76"/>
      <c r="AV663" s="76"/>
      <c r="AW663" s="79"/>
      <c r="AX663" s="79"/>
      <c r="AY663" s="79"/>
      <c r="AZ663" s="79"/>
      <c r="BA663" s="79"/>
      <c r="BB663" s="11"/>
      <c r="BC663" s="11"/>
      <c r="BD663" s="11"/>
      <c r="BE663" s="73"/>
      <c r="BF663" s="73"/>
      <c r="BG663" s="73"/>
      <c r="BH663" s="77"/>
      <c r="BI663" s="77"/>
      <c r="BJ663" s="77"/>
      <c r="BK663" s="77"/>
      <c r="BL663" s="77"/>
      <c r="BM663" s="77"/>
      <c r="BN663" s="158"/>
      <c r="BO663" s="158"/>
    </row>
    <row r="664" spans="1:67" ht="15" x14ac:dyDescent="0.25">
      <c r="A664" s="71"/>
      <c r="B664" s="11"/>
      <c r="C664" s="11"/>
      <c r="D664" s="11"/>
      <c r="E664" s="11"/>
      <c r="F664" s="11"/>
      <c r="G664" s="11"/>
      <c r="H664" s="11"/>
      <c r="I664" s="11"/>
      <c r="J664" s="249"/>
      <c r="K664" s="72"/>
      <c r="L664" s="73"/>
      <c r="M664" s="73"/>
      <c r="N664" s="74"/>
      <c r="O664" s="75"/>
      <c r="P664" s="73"/>
      <c r="Q664" s="76"/>
      <c r="R664" s="76"/>
      <c r="S664" s="76"/>
      <c r="T664" s="76"/>
      <c r="U664" s="76"/>
      <c r="V664" s="76"/>
      <c r="W664" s="76"/>
      <c r="X664" s="76"/>
      <c r="Y664" s="76"/>
      <c r="Z664" s="77"/>
      <c r="AA664" s="77"/>
      <c r="AB664" s="77"/>
      <c r="AC664" s="77"/>
      <c r="AD664" s="77"/>
      <c r="AE664" s="77"/>
      <c r="AF664" s="77"/>
      <c r="AG664" s="77"/>
      <c r="AH664" s="78"/>
      <c r="AI664" s="78"/>
      <c r="AJ664" s="78"/>
      <c r="AK664" s="78"/>
      <c r="AL664" s="78"/>
      <c r="AM664" s="78"/>
      <c r="AN664" s="76"/>
      <c r="AO664" s="76"/>
      <c r="AP664" s="76"/>
      <c r="AQ664" s="76"/>
      <c r="AR664" s="76"/>
      <c r="AS664" s="76"/>
      <c r="AT664" s="76"/>
      <c r="AU664" s="76"/>
      <c r="AV664" s="76"/>
      <c r="AW664" s="79"/>
      <c r="AX664" s="79"/>
      <c r="AY664" s="79"/>
      <c r="AZ664" s="79"/>
      <c r="BA664" s="79"/>
      <c r="BB664" s="11"/>
      <c r="BC664" s="11"/>
      <c r="BD664" s="11"/>
      <c r="BE664" s="73"/>
      <c r="BF664" s="73"/>
      <c r="BG664" s="73"/>
      <c r="BH664" s="77"/>
      <c r="BI664" s="77"/>
      <c r="BJ664" s="77"/>
      <c r="BK664" s="77"/>
      <c r="BL664" s="77"/>
      <c r="BM664" s="77"/>
      <c r="BN664" s="158"/>
      <c r="BO664" s="158"/>
    </row>
    <row r="665" spans="1:67" ht="15" x14ac:dyDescent="0.25">
      <c r="A665" s="71"/>
      <c r="B665" s="11"/>
      <c r="C665" s="11"/>
      <c r="D665" s="11"/>
      <c r="E665" s="11"/>
      <c r="F665" s="11"/>
      <c r="G665" s="11"/>
      <c r="H665" s="11"/>
      <c r="I665" s="11"/>
      <c r="J665" s="249"/>
      <c r="K665" s="72"/>
      <c r="L665" s="73"/>
      <c r="M665" s="73"/>
      <c r="N665" s="74"/>
      <c r="O665" s="75"/>
      <c r="P665" s="73"/>
      <c r="Q665" s="76"/>
      <c r="R665" s="76"/>
      <c r="S665" s="76"/>
      <c r="T665" s="76"/>
      <c r="U665" s="76"/>
      <c r="V665" s="76"/>
      <c r="W665" s="76"/>
      <c r="X665" s="76"/>
      <c r="Y665" s="76"/>
      <c r="Z665" s="77"/>
      <c r="AA665" s="77"/>
      <c r="AB665" s="77"/>
      <c r="AC665" s="77"/>
      <c r="AD665" s="77"/>
      <c r="AE665" s="77"/>
      <c r="AF665" s="77"/>
      <c r="AG665" s="77"/>
      <c r="AH665" s="78"/>
      <c r="AI665" s="78"/>
      <c r="AJ665" s="78"/>
      <c r="AK665" s="78"/>
      <c r="AL665" s="78"/>
      <c r="AM665" s="78"/>
      <c r="AN665" s="76"/>
      <c r="AO665" s="76"/>
      <c r="AP665" s="76"/>
      <c r="AQ665" s="76"/>
      <c r="AR665" s="76"/>
      <c r="AS665" s="76"/>
      <c r="AT665" s="76"/>
      <c r="AU665" s="76"/>
      <c r="AV665" s="76"/>
      <c r="AW665" s="79"/>
      <c r="AX665" s="79"/>
      <c r="AY665" s="79"/>
      <c r="AZ665" s="79"/>
      <c r="BA665" s="79"/>
      <c r="BB665" s="11"/>
      <c r="BC665" s="11"/>
      <c r="BD665" s="11"/>
      <c r="BE665" s="73"/>
      <c r="BF665" s="73"/>
      <c r="BG665" s="73"/>
      <c r="BH665" s="77"/>
      <c r="BI665" s="77"/>
      <c r="BJ665" s="77"/>
      <c r="BK665" s="77"/>
      <c r="BL665" s="77"/>
      <c r="BM665" s="77"/>
      <c r="BN665" s="158"/>
      <c r="BO665" s="158"/>
    </row>
    <row r="666" spans="1:67" ht="15" x14ac:dyDescent="0.25">
      <c r="A666" s="71"/>
      <c r="B666" s="11"/>
      <c r="C666" s="11"/>
      <c r="D666" s="11"/>
      <c r="E666" s="11"/>
      <c r="F666" s="11"/>
      <c r="G666" s="11"/>
      <c r="H666" s="11"/>
      <c r="I666" s="11"/>
      <c r="J666" s="249"/>
      <c r="K666" s="72"/>
      <c r="L666" s="73"/>
      <c r="M666" s="73"/>
      <c r="N666" s="74"/>
      <c r="O666" s="75"/>
      <c r="P666" s="73"/>
      <c r="Q666" s="76"/>
      <c r="R666" s="76"/>
      <c r="S666" s="76"/>
      <c r="T666" s="76"/>
      <c r="U666" s="76"/>
      <c r="V666" s="76"/>
      <c r="W666" s="76"/>
      <c r="X666" s="76"/>
      <c r="Y666" s="76"/>
      <c r="Z666" s="77"/>
      <c r="AA666" s="77"/>
      <c r="AB666" s="77"/>
      <c r="AC666" s="77"/>
      <c r="AD666" s="77"/>
      <c r="AE666" s="77"/>
      <c r="AF666" s="77"/>
      <c r="AG666" s="77"/>
      <c r="AH666" s="78"/>
      <c r="AI666" s="78"/>
      <c r="AJ666" s="78"/>
      <c r="AK666" s="78"/>
      <c r="AL666" s="78"/>
      <c r="AM666" s="78"/>
      <c r="AN666" s="76"/>
      <c r="AO666" s="76"/>
      <c r="AP666" s="76"/>
      <c r="AQ666" s="76"/>
      <c r="AR666" s="76"/>
      <c r="AS666" s="76"/>
      <c r="AT666" s="76"/>
      <c r="AU666" s="76"/>
      <c r="AV666" s="76"/>
      <c r="AW666" s="79"/>
      <c r="AX666" s="79"/>
      <c r="AY666" s="79"/>
      <c r="AZ666" s="79"/>
      <c r="BA666" s="79"/>
      <c r="BB666" s="11"/>
      <c r="BC666" s="11"/>
      <c r="BD666" s="11"/>
      <c r="BE666" s="73"/>
      <c r="BF666" s="73"/>
      <c r="BG666" s="73"/>
      <c r="BH666" s="77"/>
      <c r="BI666" s="77"/>
      <c r="BJ666" s="77"/>
      <c r="BK666" s="77"/>
      <c r="BL666" s="77"/>
      <c r="BM666" s="77"/>
      <c r="BN666" s="158"/>
      <c r="BO666" s="158"/>
    </row>
    <row r="667" spans="1:67" ht="15" x14ac:dyDescent="0.25">
      <c r="A667" s="71"/>
      <c r="B667" s="11"/>
      <c r="C667" s="11"/>
      <c r="D667" s="11"/>
      <c r="E667" s="11"/>
      <c r="F667" s="11"/>
      <c r="G667" s="11"/>
      <c r="H667" s="11"/>
      <c r="I667" s="11"/>
      <c r="J667" s="249"/>
      <c r="K667" s="72"/>
      <c r="L667" s="73"/>
      <c r="M667" s="73"/>
      <c r="N667" s="74"/>
      <c r="O667" s="75"/>
      <c r="P667" s="73"/>
      <c r="Q667" s="76"/>
      <c r="R667" s="76"/>
      <c r="S667" s="76"/>
      <c r="T667" s="76"/>
      <c r="U667" s="76"/>
      <c r="V667" s="76"/>
      <c r="W667" s="76"/>
      <c r="X667" s="76"/>
      <c r="Y667" s="76"/>
      <c r="Z667" s="77"/>
      <c r="AA667" s="77"/>
      <c r="AB667" s="77"/>
      <c r="AC667" s="77"/>
      <c r="AD667" s="77"/>
      <c r="AE667" s="77"/>
      <c r="AF667" s="77"/>
      <c r="AG667" s="77"/>
      <c r="AH667" s="78"/>
      <c r="AI667" s="78"/>
      <c r="AJ667" s="78"/>
      <c r="AK667" s="78"/>
      <c r="AL667" s="78"/>
      <c r="AM667" s="78"/>
      <c r="AN667" s="76"/>
      <c r="AO667" s="76"/>
      <c r="AP667" s="76"/>
      <c r="AQ667" s="76"/>
      <c r="AR667" s="76"/>
      <c r="AS667" s="76"/>
      <c r="AT667" s="76"/>
      <c r="AU667" s="76"/>
      <c r="AV667" s="76"/>
      <c r="AW667" s="79"/>
      <c r="AX667" s="79"/>
      <c r="AY667" s="79"/>
      <c r="AZ667" s="79"/>
      <c r="BA667" s="79"/>
      <c r="BB667" s="11"/>
      <c r="BC667" s="11"/>
      <c r="BD667" s="11"/>
      <c r="BE667" s="73"/>
      <c r="BF667" s="73"/>
      <c r="BG667" s="73"/>
      <c r="BH667" s="77"/>
      <c r="BI667" s="77"/>
      <c r="BJ667" s="77"/>
      <c r="BK667" s="77"/>
      <c r="BL667" s="77"/>
      <c r="BM667" s="77"/>
      <c r="BN667" s="158"/>
      <c r="BO667" s="158"/>
    </row>
    <row r="668" spans="1:67" ht="15" x14ac:dyDescent="0.25">
      <c r="A668" s="71"/>
      <c r="B668" s="11"/>
      <c r="C668" s="11"/>
      <c r="D668" s="11"/>
      <c r="E668" s="11"/>
      <c r="F668" s="11"/>
      <c r="G668" s="11"/>
      <c r="H668" s="11"/>
      <c r="I668" s="11"/>
      <c r="J668" s="249"/>
      <c r="K668" s="72"/>
      <c r="L668" s="73"/>
      <c r="M668" s="73"/>
      <c r="N668" s="74"/>
      <c r="O668" s="75"/>
      <c r="P668" s="73"/>
      <c r="Q668" s="76"/>
      <c r="R668" s="76"/>
      <c r="S668" s="76"/>
      <c r="T668" s="76"/>
      <c r="U668" s="76"/>
      <c r="V668" s="76"/>
      <c r="W668" s="76"/>
      <c r="X668" s="76"/>
      <c r="Y668" s="76"/>
      <c r="Z668" s="77"/>
      <c r="AA668" s="77"/>
      <c r="AB668" s="77"/>
      <c r="AC668" s="77"/>
      <c r="AD668" s="77"/>
      <c r="AE668" s="77"/>
      <c r="AF668" s="77"/>
      <c r="AG668" s="77"/>
      <c r="AH668" s="78"/>
      <c r="AI668" s="78"/>
      <c r="AJ668" s="78"/>
      <c r="AK668" s="78"/>
      <c r="AL668" s="78"/>
      <c r="AM668" s="78"/>
      <c r="AN668" s="76"/>
      <c r="AO668" s="76"/>
      <c r="AP668" s="76"/>
      <c r="AQ668" s="76"/>
      <c r="AR668" s="76"/>
      <c r="AS668" s="76"/>
      <c r="AT668" s="76"/>
      <c r="AU668" s="76"/>
      <c r="AV668" s="76"/>
      <c r="AW668" s="79"/>
      <c r="AX668" s="79"/>
      <c r="AY668" s="79"/>
      <c r="AZ668" s="79"/>
      <c r="BA668" s="79"/>
      <c r="BB668" s="11"/>
      <c r="BC668" s="11"/>
      <c r="BD668" s="11"/>
      <c r="BE668" s="73"/>
      <c r="BF668" s="73"/>
      <c r="BG668" s="73"/>
      <c r="BH668" s="77"/>
      <c r="BI668" s="77"/>
      <c r="BJ668" s="77"/>
      <c r="BK668" s="77"/>
      <c r="BL668" s="77"/>
      <c r="BM668" s="77"/>
      <c r="BN668" s="158"/>
      <c r="BO668" s="158"/>
    </row>
    <row r="669" spans="1:67" ht="15" x14ac:dyDescent="0.25">
      <c r="A669" s="71"/>
      <c r="B669" s="11"/>
      <c r="C669" s="11"/>
      <c r="D669" s="11"/>
      <c r="E669" s="11"/>
      <c r="F669" s="11"/>
      <c r="G669" s="11"/>
      <c r="H669" s="11"/>
      <c r="I669" s="11"/>
      <c r="J669" s="249"/>
      <c r="K669" s="72"/>
      <c r="L669" s="73"/>
      <c r="M669" s="73"/>
      <c r="N669" s="74"/>
      <c r="O669" s="75"/>
      <c r="P669" s="73"/>
      <c r="Q669" s="76"/>
      <c r="R669" s="76"/>
      <c r="S669" s="76"/>
      <c r="T669" s="76"/>
      <c r="U669" s="76"/>
      <c r="V669" s="76"/>
      <c r="W669" s="76"/>
      <c r="X669" s="76"/>
      <c r="Y669" s="76"/>
      <c r="Z669" s="77"/>
      <c r="AA669" s="77"/>
      <c r="AB669" s="77"/>
      <c r="AC669" s="77"/>
      <c r="AD669" s="77"/>
      <c r="AE669" s="77"/>
      <c r="AF669" s="77"/>
      <c r="AG669" s="77"/>
      <c r="AH669" s="78"/>
      <c r="AI669" s="78"/>
      <c r="AJ669" s="78"/>
      <c r="AK669" s="78"/>
      <c r="AL669" s="78"/>
      <c r="AM669" s="78"/>
      <c r="AN669" s="76"/>
      <c r="AO669" s="76"/>
      <c r="AP669" s="76"/>
      <c r="AQ669" s="76"/>
      <c r="AR669" s="76"/>
      <c r="AS669" s="76"/>
      <c r="AT669" s="76"/>
      <c r="AU669" s="76"/>
      <c r="AV669" s="76"/>
      <c r="AW669" s="79"/>
      <c r="AX669" s="79"/>
      <c r="AY669" s="79"/>
      <c r="AZ669" s="79"/>
      <c r="BA669" s="79"/>
      <c r="BB669" s="11"/>
      <c r="BC669" s="11"/>
      <c r="BD669" s="11"/>
      <c r="BE669" s="73"/>
      <c r="BF669" s="73"/>
      <c r="BG669" s="73"/>
      <c r="BH669" s="77"/>
      <c r="BI669" s="77"/>
      <c r="BJ669" s="77"/>
      <c r="BK669" s="77"/>
      <c r="BL669" s="77"/>
      <c r="BM669" s="77"/>
      <c r="BN669" s="158"/>
      <c r="BO669" s="158"/>
    </row>
    <row r="670" spans="1:67" ht="15" x14ac:dyDescent="0.25">
      <c r="A670" s="71"/>
      <c r="B670" s="11"/>
      <c r="C670" s="11"/>
      <c r="D670" s="11"/>
      <c r="E670" s="11"/>
      <c r="F670" s="11"/>
      <c r="G670" s="11"/>
      <c r="H670" s="11"/>
      <c r="I670" s="11"/>
      <c r="J670" s="249"/>
      <c r="K670" s="72"/>
      <c r="L670" s="73"/>
      <c r="M670" s="73"/>
      <c r="N670" s="74"/>
      <c r="O670" s="75"/>
      <c r="P670" s="73"/>
      <c r="Q670" s="76"/>
      <c r="R670" s="76"/>
      <c r="S670" s="76"/>
      <c r="T670" s="76"/>
      <c r="U670" s="76"/>
      <c r="V670" s="76"/>
      <c r="W670" s="76"/>
      <c r="X670" s="76"/>
      <c r="Y670" s="76"/>
      <c r="Z670" s="77"/>
      <c r="AA670" s="77"/>
      <c r="AB670" s="77"/>
      <c r="AC670" s="77"/>
      <c r="AD670" s="77"/>
      <c r="AE670" s="77"/>
      <c r="AF670" s="77"/>
      <c r="AG670" s="77"/>
      <c r="AH670" s="78"/>
      <c r="AI670" s="78"/>
      <c r="AJ670" s="78"/>
      <c r="AK670" s="78"/>
      <c r="AL670" s="78"/>
      <c r="AM670" s="78"/>
      <c r="AN670" s="76"/>
      <c r="AO670" s="76"/>
      <c r="AP670" s="76"/>
      <c r="AQ670" s="76"/>
      <c r="AR670" s="76"/>
      <c r="AS670" s="76"/>
      <c r="AT670" s="76"/>
      <c r="AU670" s="76"/>
      <c r="AV670" s="76"/>
      <c r="AW670" s="79"/>
      <c r="AX670" s="79"/>
      <c r="AY670" s="79"/>
      <c r="AZ670" s="79"/>
      <c r="BA670" s="79"/>
      <c r="BB670" s="11"/>
      <c r="BC670" s="11"/>
      <c r="BD670" s="11"/>
      <c r="BE670" s="73"/>
      <c r="BF670" s="73"/>
      <c r="BG670" s="73"/>
      <c r="BH670" s="77"/>
      <c r="BI670" s="77"/>
      <c r="BJ670" s="77"/>
      <c r="BK670" s="77"/>
      <c r="BL670" s="77"/>
      <c r="BM670" s="77"/>
      <c r="BN670" s="158"/>
      <c r="BO670" s="158"/>
    </row>
    <row r="671" spans="1:67" ht="15" x14ac:dyDescent="0.25">
      <c r="A671" s="71"/>
      <c r="B671" s="11"/>
      <c r="C671" s="11"/>
      <c r="D671" s="11"/>
      <c r="E671" s="11"/>
      <c r="F671" s="11"/>
      <c r="G671" s="11"/>
      <c r="H671" s="11"/>
      <c r="I671" s="11"/>
      <c r="J671" s="249"/>
      <c r="K671" s="72"/>
      <c r="L671" s="73"/>
      <c r="M671" s="73"/>
      <c r="N671" s="74"/>
      <c r="O671" s="75"/>
      <c r="P671" s="73"/>
      <c r="Q671" s="76"/>
      <c r="R671" s="76"/>
      <c r="S671" s="76"/>
      <c r="T671" s="76"/>
      <c r="U671" s="76"/>
      <c r="V671" s="76"/>
      <c r="W671" s="76"/>
      <c r="X671" s="76"/>
      <c r="Y671" s="76"/>
      <c r="Z671" s="77"/>
      <c r="AA671" s="77"/>
      <c r="AB671" s="77"/>
      <c r="AC671" s="77"/>
      <c r="AD671" s="77"/>
      <c r="AE671" s="77"/>
      <c r="AF671" s="77"/>
      <c r="AG671" s="77"/>
      <c r="AH671" s="78"/>
      <c r="AI671" s="78"/>
      <c r="AJ671" s="78"/>
      <c r="AK671" s="78"/>
      <c r="AL671" s="78"/>
      <c r="AM671" s="78"/>
      <c r="AN671" s="76"/>
      <c r="AO671" s="76"/>
      <c r="AP671" s="76"/>
      <c r="AQ671" s="76"/>
      <c r="AR671" s="76"/>
      <c r="AS671" s="76"/>
      <c r="AT671" s="76"/>
      <c r="AU671" s="76"/>
      <c r="AV671" s="76"/>
      <c r="AW671" s="79"/>
      <c r="AX671" s="79"/>
      <c r="AY671" s="79"/>
      <c r="AZ671" s="79"/>
      <c r="BA671" s="79"/>
      <c r="BB671" s="11"/>
      <c r="BC671" s="11"/>
      <c r="BD671" s="11"/>
      <c r="BE671" s="73"/>
      <c r="BF671" s="73"/>
      <c r="BG671" s="73"/>
      <c r="BH671" s="77"/>
      <c r="BI671" s="77"/>
      <c r="BJ671" s="77"/>
      <c r="BK671" s="77"/>
      <c r="BL671" s="77"/>
      <c r="BM671" s="77"/>
      <c r="BN671" s="158"/>
      <c r="BO671" s="158"/>
    </row>
    <row r="672" spans="1:67" ht="15" x14ac:dyDescent="0.25">
      <c r="A672" s="71"/>
      <c r="B672" s="11"/>
      <c r="C672" s="11"/>
      <c r="D672" s="11"/>
      <c r="E672" s="11"/>
      <c r="F672" s="11"/>
      <c r="G672" s="11"/>
      <c r="H672" s="11"/>
      <c r="I672" s="11"/>
      <c r="J672" s="249"/>
      <c r="K672" s="72"/>
      <c r="L672" s="73"/>
      <c r="M672" s="73"/>
      <c r="N672" s="74"/>
      <c r="O672" s="75"/>
      <c r="P672" s="73"/>
      <c r="Q672" s="76"/>
      <c r="R672" s="76"/>
      <c r="S672" s="76"/>
      <c r="T672" s="76"/>
      <c r="U672" s="76"/>
      <c r="V672" s="76"/>
      <c r="W672" s="76"/>
      <c r="X672" s="76"/>
      <c r="Y672" s="76"/>
      <c r="Z672" s="77"/>
      <c r="AA672" s="77"/>
      <c r="AB672" s="77"/>
      <c r="AC672" s="77"/>
      <c r="AD672" s="77"/>
      <c r="AE672" s="77"/>
      <c r="AF672" s="77"/>
      <c r="AG672" s="77"/>
      <c r="AH672" s="78"/>
      <c r="AI672" s="78"/>
      <c r="AJ672" s="78"/>
      <c r="AK672" s="78"/>
      <c r="AL672" s="78"/>
      <c r="AM672" s="78"/>
      <c r="AN672" s="76"/>
      <c r="AO672" s="76"/>
      <c r="AP672" s="76"/>
      <c r="AQ672" s="76"/>
      <c r="AR672" s="76"/>
      <c r="AS672" s="76"/>
      <c r="AT672" s="76"/>
      <c r="AU672" s="76"/>
      <c r="AV672" s="76"/>
      <c r="AW672" s="79"/>
      <c r="AX672" s="79"/>
      <c r="AY672" s="79"/>
      <c r="AZ672" s="79"/>
      <c r="BA672" s="79"/>
      <c r="BB672" s="11"/>
      <c r="BC672" s="11"/>
      <c r="BD672" s="11"/>
      <c r="BE672" s="73"/>
      <c r="BF672" s="73"/>
      <c r="BG672" s="73"/>
      <c r="BH672" s="77"/>
      <c r="BI672" s="77"/>
      <c r="BJ672" s="77"/>
      <c r="BK672" s="77"/>
      <c r="BL672" s="77"/>
      <c r="BM672" s="77"/>
      <c r="BN672" s="158"/>
      <c r="BO672" s="158"/>
    </row>
    <row r="673" spans="1:67" ht="15" x14ac:dyDescent="0.25">
      <c r="A673" s="71"/>
      <c r="B673" s="11"/>
      <c r="C673" s="11"/>
      <c r="D673" s="11"/>
      <c r="E673" s="11"/>
      <c r="F673" s="11"/>
      <c r="G673" s="11"/>
      <c r="H673" s="11"/>
      <c r="I673" s="11"/>
      <c r="J673" s="249"/>
      <c r="K673" s="72"/>
      <c r="L673" s="73"/>
      <c r="M673" s="73"/>
      <c r="N673" s="74"/>
      <c r="O673" s="75"/>
      <c r="P673" s="73"/>
      <c r="Q673" s="76"/>
      <c r="R673" s="76"/>
      <c r="S673" s="76"/>
      <c r="T673" s="76"/>
      <c r="U673" s="76"/>
      <c r="V673" s="76"/>
      <c r="W673" s="76"/>
      <c r="X673" s="76"/>
      <c r="Y673" s="76"/>
      <c r="Z673" s="77"/>
      <c r="AA673" s="77"/>
      <c r="AB673" s="77"/>
      <c r="AC673" s="77"/>
      <c r="AD673" s="77"/>
      <c r="AE673" s="77"/>
      <c r="AF673" s="77"/>
      <c r="AG673" s="77"/>
      <c r="AH673" s="78"/>
      <c r="AI673" s="78"/>
      <c r="AJ673" s="78"/>
      <c r="AK673" s="78"/>
      <c r="AL673" s="78"/>
      <c r="AM673" s="78"/>
      <c r="AN673" s="76"/>
      <c r="AO673" s="76"/>
      <c r="AP673" s="76"/>
      <c r="AQ673" s="76"/>
      <c r="AR673" s="76"/>
      <c r="AS673" s="76"/>
      <c r="AT673" s="76"/>
      <c r="AU673" s="76"/>
      <c r="AV673" s="76"/>
      <c r="AW673" s="79"/>
      <c r="AX673" s="79"/>
      <c r="AY673" s="79"/>
      <c r="AZ673" s="79"/>
      <c r="BA673" s="79"/>
      <c r="BB673" s="11"/>
      <c r="BC673" s="11"/>
      <c r="BD673" s="11"/>
      <c r="BE673" s="73"/>
      <c r="BF673" s="73"/>
      <c r="BG673" s="73"/>
      <c r="BH673" s="77"/>
      <c r="BI673" s="77"/>
      <c r="BJ673" s="77"/>
      <c r="BK673" s="77"/>
      <c r="BL673" s="77"/>
      <c r="BM673" s="77"/>
      <c r="BN673" s="158"/>
      <c r="BO673" s="158"/>
    </row>
    <row r="674" spans="1:67" ht="15" x14ac:dyDescent="0.25">
      <c r="A674" s="71"/>
      <c r="B674" s="11"/>
      <c r="C674" s="11"/>
      <c r="D674" s="11"/>
      <c r="E674" s="11"/>
      <c r="F674" s="11"/>
      <c r="G674" s="11"/>
      <c r="H674" s="11"/>
      <c r="I674" s="11"/>
      <c r="J674" s="249"/>
      <c r="K674" s="72"/>
      <c r="L674" s="73"/>
      <c r="M674" s="73"/>
      <c r="N674" s="74"/>
      <c r="O674" s="75"/>
      <c r="P674" s="73"/>
      <c r="Q674" s="76"/>
      <c r="R674" s="76"/>
      <c r="S674" s="76"/>
      <c r="T674" s="76"/>
      <c r="U674" s="76"/>
      <c r="V674" s="76"/>
      <c r="W674" s="76"/>
      <c r="X674" s="76"/>
      <c r="Y674" s="76"/>
      <c r="Z674" s="77"/>
      <c r="AA674" s="77"/>
      <c r="AB674" s="77"/>
      <c r="AC674" s="77"/>
      <c r="AD674" s="77"/>
      <c r="AE674" s="77"/>
      <c r="AF674" s="77"/>
      <c r="AG674" s="77"/>
      <c r="AH674" s="78"/>
      <c r="AI674" s="78"/>
      <c r="AJ674" s="78"/>
      <c r="AK674" s="78"/>
      <c r="AL674" s="78"/>
      <c r="AM674" s="78"/>
      <c r="AN674" s="76"/>
      <c r="AO674" s="76"/>
      <c r="AP674" s="76"/>
      <c r="AQ674" s="76"/>
      <c r="AR674" s="76"/>
      <c r="AS674" s="76"/>
      <c r="AT674" s="76"/>
      <c r="AU674" s="76"/>
      <c r="AV674" s="76"/>
      <c r="AW674" s="79"/>
      <c r="AX674" s="79"/>
      <c r="AY674" s="79"/>
      <c r="AZ674" s="79"/>
      <c r="BA674" s="79"/>
      <c r="BB674" s="11"/>
      <c r="BC674" s="11"/>
      <c r="BD674" s="11"/>
      <c r="BE674" s="73"/>
      <c r="BF674" s="73"/>
      <c r="BG674" s="73"/>
      <c r="BH674" s="77"/>
      <c r="BI674" s="77"/>
      <c r="BJ674" s="77"/>
      <c r="BK674" s="77"/>
      <c r="BL674" s="77"/>
      <c r="BM674" s="77"/>
      <c r="BN674" s="158"/>
      <c r="BO674" s="158"/>
    </row>
    <row r="675" spans="1:67" ht="15" x14ac:dyDescent="0.25">
      <c r="A675" s="71"/>
      <c r="B675" s="11"/>
      <c r="C675" s="11"/>
      <c r="D675" s="11"/>
      <c r="E675" s="11"/>
      <c r="F675" s="11"/>
      <c r="G675" s="11"/>
      <c r="H675" s="11"/>
      <c r="I675" s="11"/>
      <c r="J675" s="249"/>
      <c r="K675" s="72"/>
      <c r="L675" s="73"/>
      <c r="M675" s="73"/>
      <c r="N675" s="74"/>
      <c r="O675" s="75"/>
      <c r="P675" s="73"/>
      <c r="Q675" s="76"/>
      <c r="R675" s="76"/>
      <c r="S675" s="76"/>
      <c r="T675" s="76"/>
      <c r="U675" s="76"/>
      <c r="V675" s="76"/>
      <c r="W675" s="76"/>
      <c r="X675" s="76"/>
      <c r="Y675" s="76"/>
      <c r="Z675" s="77"/>
      <c r="AA675" s="77"/>
      <c r="AB675" s="77"/>
      <c r="AC675" s="77"/>
      <c r="AD675" s="77"/>
      <c r="AE675" s="77"/>
      <c r="AF675" s="77"/>
      <c r="AG675" s="77"/>
      <c r="AH675" s="78"/>
      <c r="AI675" s="78"/>
      <c r="AJ675" s="78"/>
      <c r="AK675" s="78"/>
      <c r="AL675" s="78"/>
      <c r="AM675" s="78"/>
      <c r="AN675" s="76"/>
      <c r="AO675" s="76"/>
      <c r="AP675" s="76"/>
      <c r="AQ675" s="76"/>
      <c r="AR675" s="76"/>
      <c r="AS675" s="76"/>
      <c r="AT675" s="76"/>
      <c r="AU675" s="76"/>
      <c r="AV675" s="76"/>
      <c r="AW675" s="79"/>
      <c r="AX675" s="79"/>
      <c r="AY675" s="79"/>
      <c r="AZ675" s="79"/>
      <c r="BA675" s="79"/>
      <c r="BB675" s="11"/>
      <c r="BC675" s="11"/>
      <c r="BD675" s="11"/>
      <c r="BE675" s="73"/>
      <c r="BF675" s="73"/>
      <c r="BG675" s="73"/>
      <c r="BH675" s="77"/>
      <c r="BI675" s="77"/>
      <c r="BJ675" s="77"/>
      <c r="BK675" s="77"/>
      <c r="BL675" s="77"/>
      <c r="BM675" s="77"/>
      <c r="BN675" s="158"/>
      <c r="BO675" s="158"/>
    </row>
    <row r="676" spans="1:67" ht="15" x14ac:dyDescent="0.25">
      <c r="A676" s="71"/>
      <c r="B676" s="11"/>
      <c r="C676" s="11"/>
      <c r="D676" s="11"/>
      <c r="E676" s="11"/>
      <c r="F676" s="11"/>
      <c r="G676" s="11"/>
      <c r="H676" s="11"/>
      <c r="I676" s="11"/>
      <c r="J676" s="249"/>
      <c r="K676" s="72"/>
      <c r="L676" s="73"/>
      <c r="M676" s="73"/>
      <c r="N676" s="74"/>
      <c r="O676" s="75"/>
      <c r="P676" s="73"/>
      <c r="Q676" s="76"/>
      <c r="R676" s="76"/>
      <c r="S676" s="76"/>
      <c r="T676" s="76"/>
      <c r="U676" s="76"/>
      <c r="V676" s="76"/>
      <c r="W676" s="76"/>
      <c r="X676" s="76"/>
      <c r="Y676" s="76"/>
      <c r="Z676" s="77"/>
      <c r="AA676" s="77"/>
      <c r="AB676" s="77"/>
      <c r="AC676" s="77"/>
      <c r="AD676" s="77"/>
      <c r="AE676" s="77"/>
      <c r="AF676" s="77"/>
      <c r="AG676" s="77"/>
      <c r="AH676" s="78"/>
      <c r="AI676" s="78"/>
      <c r="AJ676" s="78"/>
      <c r="AK676" s="78"/>
      <c r="AL676" s="78"/>
      <c r="AM676" s="78"/>
      <c r="AN676" s="76"/>
      <c r="AO676" s="76"/>
      <c r="AP676" s="76"/>
      <c r="AQ676" s="76"/>
      <c r="AR676" s="76"/>
      <c r="AS676" s="76"/>
      <c r="AT676" s="76"/>
      <c r="AU676" s="76"/>
      <c r="AV676" s="76"/>
      <c r="AW676" s="79"/>
      <c r="AX676" s="79"/>
      <c r="AY676" s="79"/>
      <c r="AZ676" s="79"/>
      <c r="BA676" s="79"/>
      <c r="BB676" s="11"/>
      <c r="BC676" s="11"/>
      <c r="BD676" s="11"/>
      <c r="BE676" s="73"/>
      <c r="BF676" s="73"/>
      <c r="BG676" s="73"/>
      <c r="BH676" s="77"/>
      <c r="BI676" s="77"/>
      <c r="BJ676" s="77"/>
      <c r="BK676" s="77"/>
      <c r="BL676" s="77"/>
      <c r="BM676" s="77"/>
      <c r="BN676" s="158"/>
      <c r="BO676" s="158"/>
    </row>
    <row r="677" spans="1:67" ht="15" x14ac:dyDescent="0.25">
      <c r="A677" s="71"/>
      <c r="B677" s="11"/>
      <c r="C677" s="11"/>
      <c r="D677" s="11"/>
      <c r="E677" s="11"/>
      <c r="F677" s="11"/>
      <c r="G677" s="11"/>
      <c r="H677" s="11"/>
      <c r="I677" s="11"/>
      <c r="J677" s="249"/>
      <c r="K677" s="72"/>
      <c r="L677" s="73"/>
      <c r="M677" s="73"/>
      <c r="N677" s="74"/>
      <c r="O677" s="75"/>
      <c r="P677" s="73"/>
      <c r="Q677" s="76"/>
      <c r="R677" s="76"/>
      <c r="S677" s="76"/>
      <c r="T677" s="76"/>
      <c r="U677" s="76"/>
      <c r="V677" s="76"/>
      <c r="W677" s="76"/>
      <c r="X677" s="76"/>
      <c r="Y677" s="76"/>
      <c r="Z677" s="77"/>
      <c r="AA677" s="77"/>
      <c r="AB677" s="77"/>
      <c r="AC677" s="77"/>
      <c r="AD677" s="77"/>
      <c r="AE677" s="77"/>
      <c r="AF677" s="77"/>
      <c r="AG677" s="77"/>
      <c r="AH677" s="78"/>
      <c r="AI677" s="78"/>
      <c r="AJ677" s="78"/>
      <c r="AK677" s="78"/>
      <c r="AL677" s="78"/>
      <c r="AM677" s="78"/>
      <c r="AN677" s="76"/>
      <c r="AO677" s="76"/>
      <c r="AP677" s="76"/>
      <c r="AQ677" s="76"/>
      <c r="AR677" s="76"/>
      <c r="AS677" s="76"/>
      <c r="AT677" s="76"/>
      <c r="AU677" s="76"/>
      <c r="AV677" s="76"/>
      <c r="AW677" s="79"/>
      <c r="AX677" s="79"/>
      <c r="AY677" s="79"/>
      <c r="AZ677" s="79"/>
      <c r="BA677" s="79"/>
      <c r="BB677" s="11"/>
      <c r="BC677" s="11"/>
      <c r="BD677" s="11"/>
      <c r="BE677" s="73"/>
      <c r="BF677" s="73"/>
      <c r="BG677" s="73"/>
      <c r="BH677" s="77"/>
      <c r="BI677" s="77"/>
      <c r="BJ677" s="77"/>
      <c r="BK677" s="77"/>
      <c r="BL677" s="77"/>
      <c r="BM677" s="77"/>
      <c r="BN677" s="158"/>
      <c r="BO677" s="158"/>
    </row>
    <row r="678" spans="1:67" ht="15" x14ac:dyDescent="0.25">
      <c r="A678" s="71"/>
      <c r="B678" s="11"/>
      <c r="C678" s="11"/>
      <c r="D678" s="11"/>
      <c r="E678" s="11"/>
      <c r="F678" s="11"/>
      <c r="G678" s="11"/>
      <c r="H678" s="11"/>
      <c r="I678" s="11"/>
      <c r="J678" s="249"/>
      <c r="K678" s="72"/>
      <c r="L678" s="73"/>
      <c r="M678" s="73"/>
      <c r="N678" s="74"/>
      <c r="O678" s="75"/>
      <c r="P678" s="73"/>
      <c r="Q678" s="76"/>
      <c r="R678" s="76"/>
      <c r="S678" s="76"/>
      <c r="T678" s="76"/>
      <c r="U678" s="76"/>
      <c r="V678" s="76"/>
      <c r="W678" s="76"/>
      <c r="X678" s="76"/>
      <c r="Y678" s="76"/>
      <c r="Z678" s="77"/>
      <c r="AA678" s="77"/>
      <c r="AB678" s="77"/>
      <c r="AC678" s="77"/>
      <c r="AD678" s="77"/>
      <c r="AE678" s="77"/>
      <c r="AF678" s="77"/>
      <c r="AG678" s="77"/>
      <c r="AH678" s="78"/>
      <c r="AI678" s="78"/>
      <c r="AJ678" s="78"/>
      <c r="AK678" s="78"/>
      <c r="AL678" s="78"/>
      <c r="AM678" s="78"/>
      <c r="AN678" s="76"/>
      <c r="AO678" s="76"/>
      <c r="AP678" s="76"/>
      <c r="AQ678" s="76"/>
      <c r="AR678" s="76"/>
      <c r="AS678" s="76"/>
      <c r="AT678" s="76"/>
      <c r="AU678" s="76"/>
      <c r="AV678" s="76"/>
      <c r="AW678" s="79"/>
      <c r="AX678" s="79"/>
      <c r="AY678" s="79"/>
      <c r="AZ678" s="79"/>
      <c r="BA678" s="79"/>
      <c r="BB678" s="11"/>
      <c r="BC678" s="11"/>
      <c r="BD678" s="11"/>
      <c r="BE678" s="73"/>
      <c r="BF678" s="73"/>
      <c r="BG678" s="73"/>
      <c r="BH678" s="77"/>
      <c r="BI678" s="77"/>
      <c r="BJ678" s="77"/>
      <c r="BK678" s="77"/>
      <c r="BL678" s="77"/>
      <c r="BM678" s="77"/>
      <c r="BN678" s="158"/>
      <c r="BO678" s="158"/>
    </row>
    <row r="679" spans="1:67" ht="15" x14ac:dyDescent="0.25">
      <c r="A679" s="71"/>
      <c r="B679" s="11"/>
      <c r="C679" s="11"/>
      <c r="D679" s="11"/>
      <c r="E679" s="11"/>
      <c r="F679" s="11"/>
      <c r="G679" s="11"/>
      <c r="H679" s="11"/>
      <c r="I679" s="11"/>
      <c r="J679" s="249"/>
      <c r="K679" s="72"/>
      <c r="L679" s="73"/>
      <c r="M679" s="73"/>
      <c r="N679" s="74"/>
      <c r="O679" s="75"/>
      <c r="P679" s="73"/>
      <c r="Q679" s="76"/>
      <c r="R679" s="76"/>
      <c r="S679" s="76"/>
      <c r="T679" s="76"/>
      <c r="U679" s="76"/>
      <c r="V679" s="76"/>
      <c r="W679" s="76"/>
      <c r="X679" s="76"/>
      <c r="Y679" s="76"/>
      <c r="Z679" s="77"/>
      <c r="AA679" s="77"/>
      <c r="AB679" s="77"/>
      <c r="AC679" s="77"/>
      <c r="AD679" s="77"/>
      <c r="AE679" s="77"/>
      <c r="AF679" s="77"/>
      <c r="AG679" s="77"/>
      <c r="AH679" s="78"/>
      <c r="AI679" s="78"/>
      <c r="AJ679" s="78"/>
      <c r="AK679" s="78"/>
      <c r="AL679" s="78"/>
      <c r="AM679" s="78"/>
      <c r="AN679" s="76"/>
      <c r="AO679" s="76"/>
      <c r="AP679" s="76"/>
      <c r="AQ679" s="76"/>
      <c r="AR679" s="76"/>
      <c r="AS679" s="76"/>
      <c r="AT679" s="76"/>
      <c r="AU679" s="76"/>
      <c r="AV679" s="76"/>
      <c r="AW679" s="79"/>
      <c r="AX679" s="79"/>
      <c r="AY679" s="79"/>
      <c r="AZ679" s="79"/>
      <c r="BA679" s="79"/>
      <c r="BB679" s="11"/>
      <c r="BC679" s="11"/>
      <c r="BD679" s="11"/>
      <c r="BE679" s="73"/>
      <c r="BF679" s="73"/>
      <c r="BG679" s="73"/>
      <c r="BH679" s="77"/>
      <c r="BI679" s="77"/>
      <c r="BJ679" s="77"/>
      <c r="BK679" s="77"/>
      <c r="BL679" s="77"/>
      <c r="BM679" s="77"/>
      <c r="BN679" s="158"/>
      <c r="BO679" s="158"/>
    </row>
    <row r="680" spans="1:67" ht="15" x14ac:dyDescent="0.25">
      <c r="A680" s="71"/>
      <c r="B680" s="11"/>
      <c r="C680" s="11"/>
      <c r="D680" s="11"/>
      <c r="E680" s="11"/>
      <c r="F680" s="11"/>
      <c r="G680" s="11"/>
      <c r="H680" s="11"/>
      <c r="I680" s="11"/>
      <c r="J680" s="249"/>
      <c r="K680" s="72"/>
      <c r="L680" s="73"/>
      <c r="M680" s="73"/>
      <c r="N680" s="74"/>
      <c r="O680" s="75"/>
      <c r="P680" s="73"/>
      <c r="Q680" s="76"/>
      <c r="R680" s="76"/>
      <c r="S680" s="76"/>
      <c r="T680" s="76"/>
      <c r="U680" s="76"/>
      <c r="V680" s="76"/>
      <c r="W680" s="76"/>
      <c r="X680" s="76"/>
      <c r="Y680" s="76"/>
      <c r="Z680" s="77"/>
      <c r="AA680" s="77"/>
      <c r="AB680" s="77"/>
      <c r="AC680" s="77"/>
      <c r="AD680" s="77"/>
      <c r="AE680" s="77"/>
      <c r="AF680" s="77"/>
      <c r="AG680" s="77"/>
      <c r="AH680" s="78"/>
      <c r="AI680" s="78"/>
      <c r="AJ680" s="78"/>
      <c r="AK680" s="78"/>
      <c r="AL680" s="78"/>
      <c r="AM680" s="78"/>
      <c r="AN680" s="76"/>
      <c r="AO680" s="76"/>
      <c r="AP680" s="76"/>
      <c r="AQ680" s="76"/>
      <c r="AR680" s="76"/>
      <c r="AS680" s="76"/>
      <c r="AT680" s="76"/>
      <c r="AU680" s="76"/>
      <c r="AV680" s="76"/>
      <c r="AW680" s="79"/>
      <c r="AX680" s="79"/>
      <c r="AY680" s="79"/>
      <c r="AZ680" s="79"/>
      <c r="BA680" s="79"/>
      <c r="BB680" s="11"/>
      <c r="BC680" s="11"/>
      <c r="BD680" s="11"/>
      <c r="BE680" s="73"/>
      <c r="BF680" s="73"/>
      <c r="BG680" s="73"/>
      <c r="BH680" s="77"/>
      <c r="BI680" s="77"/>
      <c r="BJ680" s="77"/>
      <c r="BK680" s="77"/>
      <c r="BL680" s="77"/>
      <c r="BM680" s="77"/>
      <c r="BN680" s="158"/>
      <c r="BO680" s="158"/>
    </row>
    <row r="681" spans="1:67" ht="15" x14ac:dyDescent="0.25">
      <c r="A681" s="71"/>
      <c r="B681" s="11"/>
      <c r="C681" s="11"/>
      <c r="D681" s="11"/>
      <c r="E681" s="11"/>
      <c r="F681" s="11"/>
      <c r="G681" s="11"/>
      <c r="H681" s="11"/>
      <c r="I681" s="11"/>
      <c r="J681" s="249"/>
      <c r="K681" s="72"/>
      <c r="L681" s="73"/>
      <c r="M681" s="73"/>
      <c r="N681" s="74"/>
      <c r="O681" s="75"/>
      <c r="P681" s="73"/>
      <c r="Q681" s="76"/>
      <c r="R681" s="76"/>
      <c r="S681" s="76"/>
      <c r="T681" s="76"/>
      <c r="U681" s="76"/>
      <c r="V681" s="76"/>
      <c r="W681" s="76"/>
      <c r="X681" s="76"/>
      <c r="Y681" s="76"/>
      <c r="Z681" s="77"/>
      <c r="AA681" s="77"/>
      <c r="AB681" s="77"/>
      <c r="AC681" s="77"/>
      <c r="AD681" s="77"/>
      <c r="AE681" s="77"/>
      <c r="AF681" s="77"/>
      <c r="AG681" s="77"/>
      <c r="AH681" s="78"/>
      <c r="AI681" s="78"/>
      <c r="AJ681" s="78"/>
      <c r="AK681" s="78"/>
      <c r="AL681" s="78"/>
      <c r="AM681" s="78"/>
      <c r="AN681" s="76"/>
      <c r="AO681" s="76"/>
      <c r="AP681" s="76"/>
      <c r="AQ681" s="76"/>
      <c r="AR681" s="76"/>
      <c r="AS681" s="76"/>
      <c r="AT681" s="76"/>
      <c r="AU681" s="76"/>
      <c r="AV681" s="76"/>
      <c r="AW681" s="79"/>
      <c r="AX681" s="79"/>
      <c r="AY681" s="79"/>
      <c r="AZ681" s="79"/>
      <c r="BA681" s="79"/>
      <c r="BB681" s="11"/>
      <c r="BC681" s="11"/>
      <c r="BD681" s="11"/>
      <c r="BE681" s="73"/>
      <c r="BF681" s="73"/>
      <c r="BG681" s="73"/>
      <c r="BH681" s="77"/>
      <c r="BI681" s="77"/>
      <c r="BJ681" s="77"/>
      <c r="BK681" s="77"/>
      <c r="BL681" s="77"/>
      <c r="BM681" s="77"/>
      <c r="BN681" s="158"/>
      <c r="BO681" s="158"/>
    </row>
    <row r="682" spans="1:67" ht="15" x14ac:dyDescent="0.25">
      <c r="A682" s="71"/>
      <c r="B682" s="11"/>
      <c r="C682" s="11"/>
      <c r="D682" s="11"/>
      <c r="E682" s="11"/>
      <c r="F682" s="11"/>
      <c r="G682" s="11"/>
      <c r="H682" s="11"/>
      <c r="I682" s="11"/>
      <c r="J682" s="249"/>
      <c r="K682" s="72"/>
      <c r="L682" s="73"/>
      <c r="M682" s="73"/>
      <c r="N682" s="74"/>
      <c r="O682" s="75"/>
      <c r="P682" s="73"/>
      <c r="Q682" s="76"/>
      <c r="R682" s="76"/>
      <c r="S682" s="76"/>
      <c r="T682" s="76"/>
      <c r="U682" s="76"/>
      <c r="V682" s="76"/>
      <c r="W682" s="76"/>
      <c r="X682" s="76"/>
      <c r="Y682" s="76"/>
      <c r="Z682" s="77"/>
      <c r="AA682" s="77"/>
      <c r="AB682" s="77"/>
      <c r="AC682" s="77"/>
      <c r="AD682" s="77"/>
      <c r="AE682" s="77"/>
      <c r="AF682" s="77"/>
      <c r="AG682" s="77"/>
      <c r="AH682" s="78"/>
      <c r="AI682" s="78"/>
      <c r="AJ682" s="78"/>
      <c r="AK682" s="78"/>
      <c r="AL682" s="78"/>
      <c r="AM682" s="78"/>
      <c r="AN682" s="76"/>
      <c r="AO682" s="76"/>
      <c r="AP682" s="76"/>
      <c r="AQ682" s="76"/>
      <c r="AR682" s="76"/>
      <c r="AS682" s="76"/>
      <c r="AT682" s="76"/>
      <c r="AU682" s="76"/>
      <c r="AV682" s="76"/>
      <c r="AW682" s="79"/>
      <c r="AX682" s="79"/>
      <c r="AY682" s="79"/>
      <c r="AZ682" s="79"/>
      <c r="BA682" s="79"/>
      <c r="BB682" s="11"/>
      <c r="BC682" s="11"/>
      <c r="BD682" s="11"/>
      <c r="BE682" s="73"/>
      <c r="BF682" s="73"/>
      <c r="BG682" s="73"/>
      <c r="BH682" s="77"/>
      <c r="BI682" s="77"/>
      <c r="BJ682" s="77"/>
      <c r="BK682" s="77"/>
      <c r="BL682" s="77"/>
      <c r="BM682" s="77"/>
      <c r="BN682" s="158"/>
      <c r="BO682" s="158"/>
    </row>
    <row r="683" spans="1:67" ht="15" x14ac:dyDescent="0.25">
      <c r="A683" s="71"/>
      <c r="B683" s="11"/>
      <c r="C683" s="11"/>
      <c r="D683" s="11"/>
      <c r="E683" s="11"/>
      <c r="F683" s="11"/>
      <c r="G683" s="11"/>
      <c r="H683" s="11"/>
      <c r="I683" s="11"/>
      <c r="J683" s="249"/>
      <c r="K683" s="72"/>
      <c r="L683" s="73"/>
      <c r="M683" s="73"/>
      <c r="N683" s="74"/>
      <c r="O683" s="75"/>
      <c r="P683" s="73"/>
      <c r="Q683" s="76"/>
      <c r="R683" s="76"/>
      <c r="S683" s="76"/>
      <c r="T683" s="76"/>
      <c r="U683" s="76"/>
      <c r="V683" s="76"/>
      <c r="W683" s="76"/>
      <c r="X683" s="76"/>
      <c r="Y683" s="76"/>
      <c r="Z683" s="77"/>
      <c r="AA683" s="77"/>
      <c r="AB683" s="77"/>
      <c r="AC683" s="77"/>
      <c r="AD683" s="77"/>
      <c r="AE683" s="77"/>
      <c r="AF683" s="77"/>
      <c r="AG683" s="77"/>
      <c r="AH683" s="78"/>
      <c r="AI683" s="78"/>
      <c r="AJ683" s="78"/>
      <c r="AK683" s="78"/>
      <c r="AL683" s="78"/>
      <c r="AM683" s="78"/>
      <c r="AN683" s="76"/>
      <c r="AO683" s="76"/>
      <c r="AP683" s="76"/>
      <c r="AQ683" s="76"/>
      <c r="AR683" s="76"/>
      <c r="AS683" s="76"/>
      <c r="AT683" s="76"/>
      <c r="AU683" s="76"/>
      <c r="AV683" s="76"/>
      <c r="AW683" s="79"/>
      <c r="AX683" s="79"/>
      <c r="AY683" s="79"/>
      <c r="AZ683" s="79"/>
      <c r="BA683" s="79"/>
      <c r="BB683" s="11"/>
      <c r="BC683" s="11"/>
      <c r="BD683" s="11"/>
      <c r="BE683" s="73"/>
      <c r="BF683" s="73"/>
      <c r="BG683" s="73"/>
      <c r="BH683" s="77"/>
      <c r="BI683" s="77"/>
      <c r="BJ683" s="77"/>
      <c r="BK683" s="77"/>
      <c r="BL683" s="77"/>
      <c r="BM683" s="77"/>
      <c r="BN683" s="158"/>
      <c r="BO683" s="158"/>
    </row>
    <row r="684" spans="1:67" ht="15" x14ac:dyDescent="0.25">
      <c r="A684" s="71"/>
      <c r="B684" s="11"/>
      <c r="C684" s="11"/>
      <c r="D684" s="11"/>
      <c r="E684" s="11"/>
      <c r="F684" s="11"/>
      <c r="G684" s="11"/>
      <c r="H684" s="11"/>
      <c r="I684" s="11"/>
      <c r="J684" s="249"/>
      <c r="K684" s="72"/>
      <c r="L684" s="73"/>
      <c r="M684" s="73"/>
      <c r="N684" s="74"/>
      <c r="O684" s="75"/>
      <c r="P684" s="73"/>
      <c r="Q684" s="76"/>
      <c r="R684" s="76"/>
      <c r="S684" s="76"/>
      <c r="T684" s="76"/>
      <c r="U684" s="76"/>
      <c r="V684" s="76"/>
      <c r="W684" s="76"/>
      <c r="X684" s="76"/>
      <c r="Y684" s="76"/>
      <c r="Z684" s="77"/>
      <c r="AA684" s="77"/>
      <c r="AB684" s="77"/>
      <c r="AC684" s="77"/>
      <c r="AD684" s="77"/>
      <c r="AE684" s="77"/>
      <c r="AF684" s="77"/>
      <c r="AG684" s="77"/>
      <c r="AH684" s="78"/>
      <c r="AI684" s="78"/>
      <c r="AJ684" s="78"/>
      <c r="AK684" s="78"/>
      <c r="AL684" s="78"/>
      <c r="AM684" s="78"/>
      <c r="AN684" s="76"/>
      <c r="AO684" s="76"/>
      <c r="AP684" s="76"/>
      <c r="AQ684" s="76"/>
      <c r="AR684" s="76"/>
      <c r="AS684" s="76"/>
      <c r="AT684" s="76"/>
      <c r="AU684" s="76"/>
      <c r="AV684" s="76"/>
      <c r="AW684" s="79"/>
      <c r="AX684" s="79"/>
      <c r="AY684" s="79"/>
      <c r="AZ684" s="79"/>
      <c r="BA684" s="79"/>
      <c r="BB684" s="11"/>
      <c r="BC684" s="11"/>
      <c r="BD684" s="11"/>
      <c r="BE684" s="73"/>
      <c r="BF684" s="73"/>
      <c r="BG684" s="73"/>
      <c r="BH684" s="77"/>
      <c r="BI684" s="77"/>
      <c r="BJ684" s="77"/>
      <c r="BK684" s="77"/>
      <c r="BL684" s="77"/>
      <c r="BM684" s="77"/>
      <c r="BN684" s="158"/>
      <c r="BO684" s="158"/>
    </row>
    <row r="685" spans="1:67" ht="15" x14ac:dyDescent="0.25">
      <c r="A685" s="71"/>
      <c r="B685" s="11"/>
      <c r="C685" s="11"/>
      <c r="D685" s="11"/>
      <c r="E685" s="11"/>
      <c r="F685" s="11"/>
      <c r="G685" s="11"/>
      <c r="H685" s="11"/>
      <c r="I685" s="11"/>
      <c r="J685" s="249"/>
      <c r="K685" s="72"/>
      <c r="L685" s="73"/>
      <c r="M685" s="73"/>
      <c r="N685" s="74"/>
      <c r="O685" s="75"/>
      <c r="P685" s="73"/>
      <c r="Q685" s="76"/>
      <c r="R685" s="76"/>
      <c r="S685" s="76"/>
      <c r="T685" s="76"/>
      <c r="U685" s="76"/>
      <c r="V685" s="76"/>
      <c r="W685" s="76"/>
      <c r="X685" s="76"/>
      <c r="Y685" s="76"/>
      <c r="Z685" s="77"/>
      <c r="AA685" s="77"/>
      <c r="AB685" s="77"/>
      <c r="AC685" s="77"/>
      <c r="AD685" s="77"/>
      <c r="AE685" s="77"/>
      <c r="AF685" s="77"/>
      <c r="AG685" s="77"/>
      <c r="AH685" s="78"/>
      <c r="AI685" s="78"/>
      <c r="AJ685" s="78"/>
      <c r="AK685" s="78"/>
      <c r="AL685" s="78"/>
      <c r="AM685" s="78"/>
      <c r="AN685" s="76"/>
      <c r="AO685" s="76"/>
      <c r="AP685" s="76"/>
      <c r="AQ685" s="76"/>
      <c r="AR685" s="76"/>
      <c r="AS685" s="76"/>
      <c r="AT685" s="76"/>
      <c r="AU685" s="76"/>
      <c r="AV685" s="76"/>
      <c r="AW685" s="79"/>
      <c r="AX685" s="79"/>
      <c r="AY685" s="79"/>
      <c r="AZ685" s="79"/>
      <c r="BA685" s="79"/>
      <c r="BB685" s="11"/>
      <c r="BC685" s="11"/>
      <c r="BD685" s="11"/>
      <c r="BE685" s="73"/>
      <c r="BF685" s="73"/>
      <c r="BG685" s="73"/>
      <c r="BH685" s="77"/>
      <c r="BI685" s="77"/>
      <c r="BJ685" s="77"/>
      <c r="BK685" s="77"/>
      <c r="BL685" s="77"/>
      <c r="BM685" s="77"/>
      <c r="BN685" s="158"/>
      <c r="BO685" s="158"/>
    </row>
    <row r="686" spans="1:67" ht="15" x14ac:dyDescent="0.25">
      <c r="A686" s="71"/>
      <c r="B686" s="11"/>
      <c r="C686" s="11"/>
      <c r="D686" s="11"/>
      <c r="E686" s="11"/>
      <c r="F686" s="11"/>
      <c r="G686" s="11"/>
      <c r="H686" s="11"/>
      <c r="I686" s="11"/>
      <c r="J686" s="249"/>
      <c r="K686" s="72"/>
      <c r="L686" s="73"/>
      <c r="M686" s="73"/>
      <c r="N686" s="74"/>
      <c r="O686" s="75"/>
      <c r="P686" s="73"/>
      <c r="Q686" s="76"/>
      <c r="R686" s="76"/>
      <c r="S686" s="76"/>
      <c r="T686" s="76"/>
      <c r="U686" s="76"/>
      <c r="V686" s="76"/>
      <c r="W686" s="76"/>
      <c r="X686" s="76"/>
      <c r="Y686" s="76"/>
      <c r="Z686" s="77"/>
      <c r="AA686" s="77"/>
      <c r="AB686" s="77"/>
      <c r="AC686" s="77"/>
      <c r="AD686" s="77"/>
      <c r="AE686" s="77"/>
      <c r="AF686" s="77"/>
      <c r="AG686" s="77"/>
      <c r="AH686" s="78"/>
      <c r="AI686" s="78"/>
      <c r="AJ686" s="78"/>
      <c r="AK686" s="78"/>
      <c r="AL686" s="78"/>
      <c r="AM686" s="78"/>
      <c r="AN686" s="76"/>
      <c r="AO686" s="76"/>
      <c r="AP686" s="76"/>
      <c r="AQ686" s="76"/>
      <c r="AR686" s="76"/>
      <c r="AS686" s="76"/>
      <c r="AT686" s="76"/>
      <c r="AU686" s="76"/>
      <c r="AV686" s="76"/>
      <c r="AW686" s="79"/>
      <c r="AX686" s="79"/>
      <c r="AY686" s="79"/>
      <c r="AZ686" s="79"/>
      <c r="BA686" s="79"/>
      <c r="BB686" s="11"/>
      <c r="BC686" s="11"/>
      <c r="BD686" s="11"/>
      <c r="BE686" s="73"/>
      <c r="BF686" s="73"/>
      <c r="BG686" s="73"/>
      <c r="BH686" s="77"/>
      <c r="BI686" s="77"/>
      <c r="BJ686" s="77"/>
      <c r="BK686" s="77"/>
      <c r="BL686" s="77"/>
      <c r="BM686" s="77"/>
      <c r="BN686" s="158"/>
      <c r="BO686" s="158"/>
    </row>
    <row r="687" spans="1:67" ht="15" x14ac:dyDescent="0.25">
      <c r="A687" s="71"/>
      <c r="B687" s="11"/>
      <c r="C687" s="11"/>
      <c r="D687" s="11"/>
      <c r="E687" s="11"/>
      <c r="F687" s="11"/>
      <c r="G687" s="11"/>
      <c r="H687" s="11"/>
      <c r="I687" s="11"/>
      <c r="J687" s="249"/>
      <c r="K687" s="72"/>
      <c r="L687" s="73"/>
      <c r="M687" s="73"/>
      <c r="N687" s="74"/>
      <c r="O687" s="75"/>
      <c r="P687" s="73"/>
      <c r="Q687" s="76"/>
      <c r="R687" s="76"/>
      <c r="S687" s="76"/>
      <c r="T687" s="76"/>
      <c r="U687" s="76"/>
      <c r="V687" s="76"/>
      <c r="W687" s="76"/>
      <c r="X687" s="76"/>
      <c r="Y687" s="76"/>
      <c r="Z687" s="77"/>
      <c r="AA687" s="77"/>
      <c r="AB687" s="77"/>
      <c r="AC687" s="77"/>
      <c r="AD687" s="77"/>
      <c r="AE687" s="77"/>
      <c r="AF687" s="77"/>
      <c r="AG687" s="77"/>
      <c r="AH687" s="78"/>
      <c r="AI687" s="78"/>
      <c r="AJ687" s="78"/>
      <c r="AK687" s="78"/>
      <c r="AL687" s="78"/>
      <c r="AM687" s="78"/>
      <c r="AN687" s="76"/>
      <c r="AO687" s="76"/>
      <c r="AP687" s="76"/>
      <c r="AQ687" s="76"/>
      <c r="AR687" s="76"/>
      <c r="AS687" s="76"/>
      <c r="AT687" s="76"/>
      <c r="AU687" s="76"/>
      <c r="AV687" s="76"/>
      <c r="AW687" s="79"/>
      <c r="AX687" s="79"/>
      <c r="AY687" s="79"/>
      <c r="AZ687" s="79"/>
      <c r="BA687" s="79"/>
      <c r="BB687" s="11"/>
      <c r="BC687" s="11"/>
      <c r="BD687" s="11"/>
      <c r="BE687" s="73"/>
      <c r="BF687" s="73"/>
      <c r="BG687" s="73"/>
      <c r="BH687" s="77"/>
      <c r="BI687" s="77"/>
      <c r="BJ687" s="77"/>
      <c r="BK687" s="77"/>
      <c r="BL687" s="77"/>
      <c r="BM687" s="77"/>
      <c r="BN687" s="158"/>
      <c r="BO687" s="158"/>
    </row>
    <row r="688" spans="1:67" ht="15" x14ac:dyDescent="0.25">
      <c r="A688" s="71"/>
      <c r="B688" s="11"/>
      <c r="C688" s="11"/>
      <c r="D688" s="11"/>
      <c r="E688" s="11"/>
      <c r="F688" s="11"/>
      <c r="G688" s="11"/>
      <c r="H688" s="11"/>
      <c r="I688" s="11"/>
      <c r="J688" s="249"/>
      <c r="K688" s="72"/>
      <c r="L688" s="73"/>
      <c r="M688" s="73"/>
      <c r="N688" s="74"/>
      <c r="O688" s="75"/>
      <c r="P688" s="73"/>
      <c r="Q688" s="76"/>
      <c r="R688" s="76"/>
      <c r="S688" s="76"/>
      <c r="T688" s="76"/>
      <c r="U688" s="76"/>
      <c r="V688" s="76"/>
      <c r="W688" s="76"/>
      <c r="X688" s="76"/>
      <c r="Y688" s="76"/>
      <c r="Z688" s="77"/>
      <c r="AA688" s="77"/>
      <c r="AB688" s="77"/>
      <c r="AC688" s="77"/>
      <c r="AD688" s="77"/>
      <c r="AE688" s="77"/>
      <c r="AF688" s="77"/>
      <c r="AG688" s="77"/>
      <c r="AH688" s="78"/>
      <c r="AI688" s="78"/>
      <c r="AJ688" s="78"/>
      <c r="AK688" s="78"/>
      <c r="AL688" s="78"/>
      <c r="AM688" s="78"/>
      <c r="AN688" s="76"/>
      <c r="AO688" s="76"/>
      <c r="AP688" s="76"/>
      <c r="AQ688" s="76"/>
      <c r="AR688" s="76"/>
      <c r="AS688" s="76"/>
      <c r="AT688" s="76"/>
      <c r="AU688" s="76"/>
      <c r="AV688" s="76"/>
      <c r="AW688" s="79"/>
      <c r="AX688" s="79"/>
      <c r="AY688" s="79"/>
      <c r="AZ688" s="79"/>
      <c r="BA688" s="79"/>
      <c r="BB688" s="11"/>
      <c r="BC688" s="11"/>
      <c r="BD688" s="11"/>
      <c r="BE688" s="73"/>
      <c r="BF688" s="73"/>
      <c r="BG688" s="73"/>
      <c r="BH688" s="77"/>
      <c r="BI688" s="77"/>
      <c r="BJ688" s="77"/>
      <c r="BK688" s="77"/>
      <c r="BL688" s="77"/>
      <c r="BM688" s="77"/>
      <c r="BN688" s="158"/>
      <c r="BO688" s="158"/>
    </row>
    <row r="689" spans="1:67" ht="15" x14ac:dyDescent="0.25">
      <c r="A689" s="71"/>
      <c r="B689" s="11"/>
      <c r="C689" s="11"/>
      <c r="D689" s="11"/>
      <c r="E689" s="11"/>
      <c r="F689" s="11"/>
      <c r="G689" s="11"/>
      <c r="H689" s="11"/>
      <c r="I689" s="11"/>
      <c r="J689" s="249"/>
      <c r="K689" s="72"/>
      <c r="L689" s="73"/>
      <c r="M689" s="73"/>
      <c r="N689" s="74"/>
      <c r="O689" s="75"/>
      <c r="P689" s="73"/>
      <c r="Q689" s="76"/>
      <c r="R689" s="76"/>
      <c r="S689" s="76"/>
      <c r="T689" s="76"/>
      <c r="U689" s="76"/>
      <c r="V689" s="76"/>
      <c r="W689" s="76"/>
      <c r="X689" s="76"/>
      <c r="Y689" s="76"/>
      <c r="Z689" s="77"/>
      <c r="AA689" s="77"/>
      <c r="AB689" s="77"/>
      <c r="AC689" s="77"/>
      <c r="AD689" s="77"/>
      <c r="AE689" s="77"/>
      <c r="AF689" s="77"/>
      <c r="AG689" s="77"/>
      <c r="AH689" s="78"/>
      <c r="AI689" s="78"/>
      <c r="AJ689" s="78"/>
      <c r="AK689" s="78"/>
      <c r="AL689" s="78"/>
      <c r="AM689" s="78"/>
      <c r="AN689" s="76"/>
      <c r="AO689" s="76"/>
      <c r="AP689" s="76"/>
      <c r="AQ689" s="76"/>
      <c r="AR689" s="76"/>
      <c r="AS689" s="76"/>
      <c r="AT689" s="76"/>
      <c r="AU689" s="76"/>
      <c r="AV689" s="76"/>
      <c r="AW689" s="79"/>
      <c r="AX689" s="79"/>
      <c r="AY689" s="79"/>
      <c r="AZ689" s="79"/>
      <c r="BA689" s="79"/>
      <c r="BB689" s="11"/>
      <c r="BC689" s="11"/>
      <c r="BD689" s="11"/>
      <c r="BE689" s="73"/>
      <c r="BF689" s="73"/>
      <c r="BG689" s="73"/>
      <c r="BH689" s="77"/>
      <c r="BI689" s="77"/>
      <c r="BJ689" s="77"/>
      <c r="BK689" s="77"/>
      <c r="BL689" s="77"/>
      <c r="BM689" s="77"/>
      <c r="BN689" s="158"/>
      <c r="BO689" s="158"/>
    </row>
    <row r="690" spans="1:67" ht="15" x14ac:dyDescent="0.25">
      <c r="A690" s="71"/>
      <c r="B690" s="11"/>
      <c r="C690" s="11"/>
      <c r="D690" s="11"/>
      <c r="E690" s="11"/>
      <c r="F690" s="11"/>
      <c r="G690" s="11"/>
      <c r="H690" s="11"/>
      <c r="I690" s="11"/>
      <c r="J690" s="249"/>
      <c r="K690" s="72"/>
      <c r="L690" s="73"/>
      <c r="M690" s="73"/>
      <c r="N690" s="74"/>
      <c r="O690" s="75"/>
      <c r="P690" s="73"/>
      <c r="Q690" s="76"/>
      <c r="R690" s="76"/>
      <c r="S690" s="76"/>
      <c r="T690" s="76"/>
      <c r="U690" s="76"/>
      <c r="V690" s="76"/>
      <c r="W690" s="76"/>
      <c r="X690" s="76"/>
      <c r="Y690" s="76"/>
      <c r="Z690" s="77"/>
      <c r="AA690" s="77"/>
      <c r="AB690" s="77"/>
      <c r="AC690" s="77"/>
      <c r="AD690" s="77"/>
      <c r="AE690" s="77"/>
      <c r="AF690" s="77"/>
      <c r="AG690" s="77"/>
      <c r="AH690" s="78"/>
      <c r="AI690" s="78"/>
      <c r="AJ690" s="78"/>
      <c r="AK690" s="78"/>
      <c r="AL690" s="78"/>
      <c r="AM690" s="78"/>
      <c r="AN690" s="76"/>
      <c r="AO690" s="76"/>
      <c r="AP690" s="76"/>
      <c r="AQ690" s="76"/>
      <c r="AR690" s="76"/>
      <c r="AS690" s="76"/>
      <c r="AT690" s="76"/>
      <c r="AU690" s="76"/>
      <c r="AV690" s="76"/>
      <c r="AW690" s="79"/>
      <c r="AX690" s="79"/>
      <c r="AY690" s="79"/>
      <c r="AZ690" s="79"/>
      <c r="BA690" s="79"/>
      <c r="BB690" s="11"/>
      <c r="BC690" s="11"/>
      <c r="BD690" s="11"/>
      <c r="BE690" s="73"/>
      <c r="BF690" s="73"/>
      <c r="BG690" s="73"/>
      <c r="BH690" s="77"/>
      <c r="BI690" s="77"/>
      <c r="BJ690" s="77"/>
      <c r="BK690" s="77"/>
      <c r="BL690" s="77"/>
      <c r="BM690" s="77"/>
      <c r="BN690" s="158"/>
      <c r="BO690" s="158"/>
    </row>
    <row r="691" spans="1:67" ht="15" x14ac:dyDescent="0.25">
      <c r="A691" s="71"/>
      <c r="B691" s="11"/>
      <c r="C691" s="11"/>
      <c r="D691" s="11"/>
      <c r="E691" s="11"/>
      <c r="F691" s="11"/>
      <c r="G691" s="11"/>
      <c r="H691" s="11"/>
      <c r="I691" s="11"/>
      <c r="J691" s="249"/>
      <c r="K691" s="72"/>
      <c r="L691" s="73"/>
      <c r="M691" s="73"/>
      <c r="N691" s="74"/>
      <c r="O691" s="75"/>
      <c r="P691" s="73"/>
      <c r="Q691" s="76"/>
      <c r="R691" s="76"/>
      <c r="S691" s="76"/>
      <c r="T691" s="76"/>
      <c r="U691" s="76"/>
      <c r="V691" s="76"/>
      <c r="W691" s="76"/>
      <c r="X691" s="76"/>
      <c r="Y691" s="76"/>
      <c r="Z691" s="77"/>
      <c r="AA691" s="77"/>
      <c r="AB691" s="77"/>
      <c r="AC691" s="77"/>
      <c r="AD691" s="77"/>
      <c r="AE691" s="77"/>
      <c r="AF691" s="77"/>
      <c r="AG691" s="77"/>
      <c r="AH691" s="78"/>
      <c r="AI691" s="78"/>
      <c r="AJ691" s="78"/>
      <c r="AK691" s="78"/>
      <c r="AL691" s="78"/>
      <c r="AM691" s="78"/>
      <c r="AN691" s="76"/>
      <c r="AO691" s="76"/>
      <c r="AP691" s="76"/>
      <c r="AQ691" s="76"/>
      <c r="AR691" s="76"/>
      <c r="AS691" s="76"/>
      <c r="AT691" s="76"/>
      <c r="AU691" s="76"/>
      <c r="AV691" s="76"/>
      <c r="AW691" s="79"/>
      <c r="AX691" s="79"/>
      <c r="AY691" s="79"/>
      <c r="AZ691" s="79"/>
      <c r="BA691" s="79"/>
      <c r="BB691" s="11"/>
      <c r="BC691" s="11"/>
      <c r="BD691" s="11"/>
      <c r="BE691" s="73"/>
      <c r="BF691" s="73"/>
      <c r="BG691" s="73"/>
      <c r="BH691" s="77"/>
      <c r="BI691" s="77"/>
      <c r="BJ691" s="77"/>
      <c r="BK691" s="77"/>
      <c r="BL691" s="77"/>
      <c r="BM691" s="77"/>
      <c r="BN691" s="158"/>
      <c r="BO691" s="158"/>
    </row>
    <row r="692" spans="1:67" ht="15" x14ac:dyDescent="0.25">
      <c r="A692" s="71"/>
      <c r="B692" s="11"/>
      <c r="C692" s="11"/>
      <c r="D692" s="11"/>
      <c r="E692" s="11"/>
      <c r="F692" s="11"/>
      <c r="G692" s="11"/>
      <c r="H692" s="11"/>
      <c r="I692" s="11"/>
      <c r="J692" s="249"/>
      <c r="K692" s="72"/>
      <c r="L692" s="73"/>
      <c r="M692" s="73"/>
      <c r="N692" s="74"/>
      <c r="O692" s="75"/>
      <c r="P692" s="73"/>
      <c r="Q692" s="76"/>
      <c r="R692" s="76"/>
      <c r="S692" s="76"/>
      <c r="T692" s="76"/>
      <c r="U692" s="76"/>
      <c r="V692" s="76"/>
      <c r="W692" s="76"/>
      <c r="X692" s="76"/>
      <c r="Y692" s="76"/>
      <c r="Z692" s="77"/>
      <c r="AA692" s="77"/>
      <c r="AB692" s="77"/>
      <c r="AC692" s="77"/>
      <c r="AD692" s="77"/>
      <c r="AE692" s="77"/>
      <c r="AF692" s="77"/>
      <c r="AG692" s="77"/>
      <c r="AH692" s="78"/>
      <c r="AI692" s="78"/>
      <c r="AJ692" s="78"/>
      <c r="AK692" s="78"/>
      <c r="AL692" s="78"/>
      <c r="AM692" s="78"/>
      <c r="AN692" s="76"/>
      <c r="AO692" s="76"/>
      <c r="AP692" s="76"/>
      <c r="AQ692" s="76"/>
      <c r="AR692" s="76"/>
      <c r="AS692" s="76"/>
      <c r="AT692" s="76"/>
      <c r="AU692" s="76"/>
      <c r="AV692" s="76"/>
      <c r="AW692" s="79"/>
      <c r="AX692" s="79"/>
      <c r="AY692" s="79"/>
      <c r="AZ692" s="79"/>
      <c r="BA692" s="79"/>
      <c r="BB692" s="11"/>
      <c r="BC692" s="11"/>
      <c r="BD692" s="11"/>
      <c r="BE692" s="73"/>
      <c r="BF692" s="73"/>
      <c r="BG692" s="73"/>
      <c r="BH692" s="77"/>
      <c r="BI692" s="77"/>
      <c r="BJ692" s="77"/>
      <c r="BK692" s="77"/>
      <c r="BL692" s="77"/>
      <c r="BM692" s="77"/>
      <c r="BN692" s="158"/>
      <c r="BO692" s="158"/>
    </row>
    <row r="693" spans="1:67" ht="15" x14ac:dyDescent="0.25">
      <c r="A693" s="71"/>
      <c r="B693" s="11"/>
      <c r="C693" s="11"/>
      <c r="D693" s="11"/>
      <c r="E693" s="11"/>
      <c r="F693" s="11"/>
      <c r="G693" s="11"/>
      <c r="H693" s="11"/>
      <c r="I693" s="11"/>
      <c r="J693" s="249"/>
      <c r="K693" s="72"/>
      <c r="L693" s="73"/>
      <c r="M693" s="73"/>
      <c r="N693" s="74"/>
      <c r="O693" s="75"/>
      <c r="P693" s="73"/>
      <c r="Q693" s="76"/>
      <c r="R693" s="76"/>
      <c r="S693" s="76"/>
      <c r="T693" s="76"/>
      <c r="U693" s="76"/>
      <c r="V693" s="76"/>
      <c r="W693" s="76"/>
      <c r="X693" s="76"/>
      <c r="Y693" s="76"/>
      <c r="Z693" s="77"/>
      <c r="AA693" s="77"/>
      <c r="AB693" s="77"/>
      <c r="AC693" s="77"/>
      <c r="AD693" s="77"/>
      <c r="AE693" s="77"/>
      <c r="AF693" s="77"/>
      <c r="AG693" s="77"/>
      <c r="AH693" s="78"/>
      <c r="AI693" s="78"/>
      <c r="AJ693" s="78"/>
      <c r="AK693" s="78"/>
      <c r="AL693" s="78"/>
      <c r="AM693" s="78"/>
      <c r="AN693" s="76"/>
      <c r="AO693" s="76"/>
      <c r="AP693" s="76"/>
      <c r="AQ693" s="76"/>
      <c r="AR693" s="76"/>
      <c r="AS693" s="76"/>
      <c r="AT693" s="76"/>
      <c r="AU693" s="76"/>
      <c r="AV693" s="76"/>
      <c r="AW693" s="79"/>
      <c r="AX693" s="79"/>
      <c r="AY693" s="79"/>
      <c r="AZ693" s="79"/>
      <c r="BA693" s="79"/>
      <c r="BB693" s="11"/>
      <c r="BC693" s="11"/>
      <c r="BD693" s="11"/>
      <c r="BE693" s="73"/>
      <c r="BF693" s="73"/>
      <c r="BG693" s="73"/>
      <c r="BH693" s="77"/>
      <c r="BI693" s="77"/>
      <c r="BJ693" s="77"/>
      <c r="BK693" s="77"/>
      <c r="BL693" s="77"/>
      <c r="BM693" s="77"/>
      <c r="BN693" s="158"/>
      <c r="BO693" s="158"/>
    </row>
    <row r="694" spans="1:67" ht="15" x14ac:dyDescent="0.25">
      <c r="A694" s="71"/>
      <c r="B694" s="11"/>
      <c r="C694" s="11"/>
      <c r="D694" s="11"/>
      <c r="E694" s="11"/>
      <c r="F694" s="11"/>
      <c r="G694" s="11"/>
      <c r="H694" s="11"/>
      <c r="I694" s="11"/>
      <c r="J694" s="249"/>
      <c r="K694" s="72"/>
      <c r="L694" s="73"/>
      <c r="M694" s="73"/>
      <c r="N694" s="74"/>
      <c r="O694" s="75"/>
      <c r="P694" s="73"/>
      <c r="Q694" s="76"/>
      <c r="R694" s="76"/>
      <c r="S694" s="76"/>
      <c r="T694" s="76"/>
      <c r="U694" s="76"/>
      <c r="V694" s="76"/>
      <c r="W694" s="76"/>
      <c r="X694" s="76"/>
      <c r="Y694" s="76"/>
      <c r="Z694" s="77"/>
      <c r="AA694" s="77"/>
      <c r="AB694" s="77"/>
      <c r="AC694" s="77"/>
      <c r="AD694" s="77"/>
      <c r="AE694" s="77"/>
      <c r="AF694" s="77"/>
      <c r="AG694" s="77"/>
      <c r="AH694" s="78"/>
      <c r="AI694" s="78"/>
      <c r="AJ694" s="78"/>
      <c r="AK694" s="78"/>
      <c r="AL694" s="78"/>
      <c r="AM694" s="78"/>
      <c r="AN694" s="76"/>
      <c r="AO694" s="76"/>
      <c r="AP694" s="76"/>
      <c r="AQ694" s="76"/>
      <c r="AR694" s="76"/>
      <c r="AS694" s="76"/>
      <c r="AT694" s="76"/>
      <c r="AU694" s="76"/>
      <c r="AV694" s="76"/>
      <c r="AW694" s="79"/>
      <c r="AX694" s="79"/>
      <c r="AY694" s="79"/>
      <c r="AZ694" s="79"/>
      <c r="BA694" s="79"/>
      <c r="BB694" s="11"/>
      <c r="BC694" s="11"/>
      <c r="BD694" s="11"/>
      <c r="BE694" s="73"/>
      <c r="BF694" s="73"/>
      <c r="BG694" s="73"/>
      <c r="BH694" s="77"/>
      <c r="BI694" s="77"/>
      <c r="BJ694" s="77"/>
      <c r="BK694" s="77"/>
      <c r="BL694" s="77"/>
      <c r="BM694" s="77"/>
      <c r="BN694" s="158"/>
      <c r="BO694" s="158"/>
    </row>
    <row r="695" spans="1:67" ht="15" x14ac:dyDescent="0.25">
      <c r="A695" s="71"/>
      <c r="B695" s="11"/>
      <c r="C695" s="11"/>
      <c r="D695" s="11"/>
      <c r="E695" s="11"/>
      <c r="F695" s="11"/>
      <c r="G695" s="11"/>
      <c r="H695" s="11"/>
      <c r="I695" s="11"/>
      <c r="J695" s="249"/>
      <c r="K695" s="72"/>
      <c r="L695" s="73"/>
      <c r="M695" s="73"/>
      <c r="N695" s="74"/>
      <c r="O695" s="75"/>
      <c r="P695" s="73"/>
      <c r="Q695" s="76"/>
      <c r="R695" s="76"/>
      <c r="S695" s="76"/>
      <c r="T695" s="76"/>
      <c r="U695" s="76"/>
      <c r="V695" s="76"/>
      <c r="W695" s="76"/>
      <c r="X695" s="76"/>
      <c r="Y695" s="76"/>
      <c r="Z695" s="77"/>
      <c r="AA695" s="77"/>
      <c r="AB695" s="77"/>
      <c r="AC695" s="77"/>
      <c r="AD695" s="77"/>
      <c r="AE695" s="77"/>
      <c r="AF695" s="77"/>
      <c r="AG695" s="77"/>
      <c r="AH695" s="78"/>
      <c r="AI695" s="78"/>
      <c r="AJ695" s="78"/>
      <c r="AK695" s="78"/>
      <c r="AL695" s="78"/>
      <c r="AM695" s="78"/>
      <c r="AN695" s="76"/>
      <c r="AO695" s="76"/>
      <c r="AP695" s="76"/>
      <c r="AQ695" s="76"/>
      <c r="AR695" s="76"/>
      <c r="AS695" s="76"/>
      <c r="AT695" s="76"/>
      <c r="AU695" s="76"/>
      <c r="AV695" s="76"/>
      <c r="AW695" s="79"/>
      <c r="AX695" s="79"/>
      <c r="AY695" s="79"/>
      <c r="AZ695" s="79"/>
      <c r="BA695" s="79"/>
      <c r="BB695" s="11"/>
      <c r="BC695" s="11"/>
      <c r="BD695" s="11"/>
      <c r="BE695" s="73"/>
      <c r="BF695" s="73"/>
      <c r="BG695" s="73"/>
      <c r="BH695" s="77"/>
      <c r="BI695" s="77"/>
      <c r="BJ695" s="77"/>
      <c r="BK695" s="77"/>
      <c r="BL695" s="77"/>
      <c r="BM695" s="77"/>
      <c r="BN695" s="158"/>
      <c r="BO695" s="158"/>
    </row>
    <row r="696" spans="1:67" ht="15" x14ac:dyDescent="0.25">
      <c r="A696" s="71"/>
      <c r="B696" s="11"/>
      <c r="C696" s="11"/>
      <c r="D696" s="11"/>
      <c r="E696" s="11"/>
      <c r="F696" s="11"/>
      <c r="G696" s="11"/>
      <c r="H696" s="11"/>
      <c r="I696" s="11"/>
      <c r="J696" s="249"/>
      <c r="K696" s="72"/>
      <c r="L696" s="73"/>
      <c r="M696" s="73"/>
      <c r="N696" s="74"/>
      <c r="O696" s="75"/>
      <c r="P696" s="73"/>
      <c r="Q696" s="76"/>
      <c r="R696" s="76"/>
      <c r="S696" s="76"/>
      <c r="T696" s="76"/>
      <c r="U696" s="76"/>
      <c r="V696" s="76"/>
      <c r="W696" s="76"/>
      <c r="X696" s="76"/>
      <c r="Y696" s="76"/>
      <c r="Z696" s="77"/>
      <c r="AA696" s="77"/>
      <c r="AB696" s="77"/>
      <c r="AC696" s="77"/>
      <c r="AD696" s="77"/>
      <c r="AE696" s="77"/>
      <c r="AF696" s="77"/>
      <c r="AG696" s="77"/>
      <c r="AH696" s="78"/>
      <c r="AI696" s="78"/>
      <c r="AJ696" s="78"/>
      <c r="AK696" s="78"/>
      <c r="AL696" s="78"/>
      <c r="AM696" s="78"/>
      <c r="AN696" s="76"/>
      <c r="AO696" s="76"/>
      <c r="AP696" s="76"/>
      <c r="AQ696" s="76"/>
      <c r="AR696" s="76"/>
      <c r="AS696" s="76"/>
      <c r="AT696" s="76"/>
      <c r="AU696" s="76"/>
      <c r="AV696" s="76"/>
      <c r="AW696" s="79"/>
      <c r="AX696" s="79"/>
      <c r="AY696" s="79"/>
      <c r="AZ696" s="79"/>
      <c r="BA696" s="79"/>
      <c r="BB696" s="11"/>
      <c r="BC696" s="11"/>
      <c r="BD696" s="11"/>
      <c r="BE696" s="73"/>
      <c r="BF696" s="73"/>
      <c r="BG696" s="73"/>
      <c r="BH696" s="77"/>
      <c r="BI696" s="77"/>
      <c r="BJ696" s="77"/>
      <c r="BK696" s="77"/>
      <c r="BL696" s="77"/>
      <c r="BM696" s="77"/>
      <c r="BN696" s="158"/>
      <c r="BO696" s="158"/>
    </row>
    <row r="697" spans="1:67" ht="15" x14ac:dyDescent="0.25">
      <c r="A697" s="71"/>
      <c r="B697" s="11"/>
      <c r="C697" s="11"/>
      <c r="D697" s="11"/>
      <c r="E697" s="11"/>
      <c r="F697" s="11"/>
      <c r="G697" s="11"/>
      <c r="H697" s="11"/>
      <c r="I697" s="11"/>
      <c r="J697" s="249"/>
      <c r="K697" s="72"/>
      <c r="L697" s="73"/>
      <c r="M697" s="73"/>
      <c r="N697" s="74"/>
      <c r="O697" s="75"/>
      <c r="P697" s="73"/>
      <c r="Q697" s="76"/>
      <c r="R697" s="76"/>
      <c r="S697" s="76"/>
      <c r="T697" s="76"/>
      <c r="U697" s="76"/>
      <c r="V697" s="76"/>
      <c r="W697" s="76"/>
      <c r="X697" s="76"/>
      <c r="Y697" s="76"/>
      <c r="Z697" s="77"/>
      <c r="AA697" s="77"/>
      <c r="AB697" s="77"/>
      <c r="AC697" s="77"/>
      <c r="AD697" s="77"/>
      <c r="AE697" s="77"/>
      <c r="AF697" s="77"/>
      <c r="AG697" s="77"/>
      <c r="AH697" s="78"/>
      <c r="AI697" s="78"/>
      <c r="AJ697" s="78"/>
      <c r="AK697" s="78"/>
      <c r="AL697" s="78"/>
      <c r="AM697" s="78"/>
      <c r="AN697" s="76"/>
      <c r="AO697" s="76"/>
      <c r="AP697" s="76"/>
      <c r="AQ697" s="76"/>
      <c r="AR697" s="76"/>
      <c r="AS697" s="76"/>
      <c r="AT697" s="76"/>
      <c r="AU697" s="76"/>
      <c r="AV697" s="76"/>
      <c r="AW697" s="79"/>
      <c r="AX697" s="79"/>
      <c r="AY697" s="79"/>
      <c r="AZ697" s="79"/>
      <c r="BA697" s="79"/>
      <c r="BB697" s="11"/>
      <c r="BC697" s="11"/>
      <c r="BD697" s="11"/>
      <c r="BE697" s="73"/>
      <c r="BF697" s="73"/>
      <c r="BG697" s="73"/>
      <c r="BH697" s="77"/>
      <c r="BI697" s="77"/>
      <c r="BJ697" s="77"/>
      <c r="BK697" s="77"/>
      <c r="BL697" s="77"/>
      <c r="BM697" s="77"/>
      <c r="BN697" s="158"/>
      <c r="BO697" s="158"/>
    </row>
    <row r="698" spans="1:67" ht="15" x14ac:dyDescent="0.25">
      <c r="A698" s="71"/>
      <c r="B698" s="11"/>
      <c r="C698" s="11"/>
      <c r="D698" s="11"/>
      <c r="E698" s="11"/>
      <c r="F698" s="11"/>
      <c r="G698" s="11"/>
      <c r="H698" s="11"/>
      <c r="I698" s="11"/>
      <c r="J698" s="249"/>
      <c r="K698" s="72"/>
      <c r="L698" s="73"/>
      <c r="M698" s="73"/>
      <c r="N698" s="74"/>
      <c r="O698" s="75"/>
      <c r="P698" s="73"/>
      <c r="Q698" s="76"/>
      <c r="R698" s="76"/>
      <c r="S698" s="76"/>
      <c r="T698" s="76"/>
      <c r="U698" s="76"/>
      <c r="V698" s="76"/>
      <c r="W698" s="76"/>
      <c r="X698" s="76"/>
      <c r="Y698" s="76"/>
      <c r="Z698" s="77"/>
      <c r="AA698" s="77"/>
      <c r="AB698" s="77"/>
      <c r="AC698" s="77"/>
      <c r="AD698" s="77"/>
      <c r="AE698" s="77"/>
      <c r="AF698" s="77"/>
      <c r="AG698" s="77"/>
      <c r="AH698" s="78"/>
      <c r="AI698" s="78"/>
      <c r="AJ698" s="78"/>
      <c r="AK698" s="78"/>
      <c r="AL698" s="78"/>
      <c r="AM698" s="78"/>
      <c r="AN698" s="76"/>
      <c r="AO698" s="76"/>
      <c r="AP698" s="76"/>
      <c r="AQ698" s="76"/>
      <c r="AR698" s="76"/>
      <c r="AS698" s="76"/>
      <c r="AT698" s="76"/>
      <c r="AU698" s="76"/>
      <c r="AV698" s="76"/>
      <c r="AW698" s="79"/>
      <c r="AX698" s="79"/>
      <c r="AY698" s="79"/>
      <c r="AZ698" s="79"/>
      <c r="BA698" s="79"/>
      <c r="BB698" s="11"/>
      <c r="BC698" s="11"/>
      <c r="BD698" s="11"/>
      <c r="BE698" s="73"/>
      <c r="BF698" s="73"/>
      <c r="BG698" s="73"/>
      <c r="BH698" s="77"/>
      <c r="BI698" s="77"/>
      <c r="BJ698" s="77"/>
      <c r="BK698" s="77"/>
      <c r="BL698" s="77"/>
      <c r="BM698" s="77"/>
      <c r="BN698" s="158"/>
      <c r="BO698" s="158"/>
    </row>
    <row r="699" spans="1:67" ht="15" x14ac:dyDescent="0.25">
      <c r="A699" s="71"/>
      <c r="B699" s="11"/>
      <c r="C699" s="11"/>
      <c r="D699" s="11"/>
      <c r="E699" s="11"/>
      <c r="F699" s="11"/>
      <c r="G699" s="11"/>
      <c r="H699" s="11"/>
      <c r="I699" s="11"/>
      <c r="J699" s="249"/>
      <c r="K699" s="72"/>
      <c r="L699" s="73"/>
      <c r="M699" s="73"/>
      <c r="N699" s="74"/>
      <c r="O699" s="75"/>
      <c r="P699" s="73"/>
      <c r="Q699" s="76"/>
      <c r="R699" s="76"/>
      <c r="S699" s="76"/>
      <c r="T699" s="76"/>
      <c r="U699" s="76"/>
      <c r="V699" s="76"/>
      <c r="W699" s="76"/>
      <c r="X699" s="76"/>
      <c r="Y699" s="76"/>
      <c r="Z699" s="77"/>
      <c r="AA699" s="77"/>
      <c r="AB699" s="77"/>
      <c r="AC699" s="77"/>
      <c r="AD699" s="77"/>
      <c r="AE699" s="77"/>
      <c r="AF699" s="77"/>
      <c r="AG699" s="77"/>
      <c r="AH699" s="78"/>
      <c r="AI699" s="78"/>
      <c r="AJ699" s="78"/>
      <c r="AK699" s="78"/>
      <c r="AL699" s="78"/>
      <c r="AM699" s="78"/>
      <c r="AN699" s="76"/>
      <c r="AO699" s="76"/>
      <c r="AP699" s="76"/>
      <c r="AQ699" s="76"/>
      <c r="AR699" s="76"/>
      <c r="AS699" s="76"/>
      <c r="AT699" s="76"/>
      <c r="AU699" s="76"/>
      <c r="AV699" s="76"/>
      <c r="AW699" s="79"/>
      <c r="AX699" s="79"/>
      <c r="AY699" s="79"/>
      <c r="AZ699" s="79"/>
      <c r="BA699" s="79"/>
      <c r="BB699" s="11"/>
      <c r="BC699" s="11"/>
      <c r="BD699" s="11"/>
      <c r="BE699" s="73"/>
      <c r="BF699" s="73"/>
      <c r="BG699" s="73"/>
      <c r="BH699" s="77"/>
      <c r="BI699" s="77"/>
      <c r="BJ699" s="77"/>
      <c r="BK699" s="77"/>
      <c r="BL699" s="77"/>
      <c r="BM699" s="77"/>
      <c r="BN699" s="158"/>
      <c r="BO699" s="158"/>
    </row>
    <row r="700" spans="1:67" ht="15" x14ac:dyDescent="0.25">
      <c r="A700" s="71"/>
      <c r="B700" s="11"/>
      <c r="C700" s="11"/>
      <c r="D700" s="11"/>
      <c r="E700" s="11"/>
      <c r="F700" s="11"/>
      <c r="G700" s="11"/>
      <c r="H700" s="11"/>
      <c r="I700" s="11"/>
      <c r="J700" s="249"/>
      <c r="K700" s="72"/>
      <c r="L700" s="73"/>
      <c r="M700" s="73"/>
      <c r="N700" s="74"/>
      <c r="O700" s="75"/>
      <c r="P700" s="73"/>
      <c r="Q700" s="76"/>
      <c r="R700" s="76"/>
      <c r="S700" s="76"/>
      <c r="T700" s="76"/>
      <c r="U700" s="76"/>
      <c r="V700" s="76"/>
      <c r="W700" s="76"/>
      <c r="X700" s="76"/>
      <c r="Y700" s="76"/>
      <c r="Z700" s="77"/>
      <c r="AA700" s="77"/>
      <c r="AB700" s="77"/>
      <c r="AC700" s="77"/>
      <c r="AD700" s="77"/>
      <c r="AE700" s="77"/>
      <c r="AF700" s="77"/>
      <c r="AG700" s="77"/>
      <c r="AH700" s="78"/>
      <c r="AI700" s="78"/>
      <c r="AJ700" s="78"/>
      <c r="AK700" s="78"/>
      <c r="AL700" s="78"/>
      <c r="AM700" s="78"/>
      <c r="AN700" s="76"/>
      <c r="AO700" s="76"/>
      <c r="AP700" s="76"/>
      <c r="AQ700" s="76"/>
      <c r="AR700" s="76"/>
      <c r="AS700" s="76"/>
      <c r="AT700" s="76"/>
      <c r="AU700" s="76"/>
      <c r="AV700" s="76"/>
      <c r="AW700" s="79"/>
      <c r="AX700" s="79"/>
      <c r="AY700" s="79"/>
      <c r="AZ700" s="79"/>
      <c r="BA700" s="79"/>
      <c r="BB700" s="11"/>
      <c r="BC700" s="11"/>
      <c r="BD700" s="11"/>
      <c r="BE700" s="73"/>
      <c r="BF700" s="73"/>
      <c r="BG700" s="73"/>
      <c r="BH700" s="77"/>
      <c r="BI700" s="77"/>
      <c r="BJ700" s="77"/>
      <c r="BK700" s="77"/>
      <c r="BL700" s="77"/>
      <c r="BM700" s="77"/>
      <c r="BN700" s="158"/>
      <c r="BO700" s="158"/>
    </row>
    <row r="701" spans="1:67" ht="15" x14ac:dyDescent="0.25">
      <c r="A701" s="71"/>
      <c r="B701" s="11"/>
      <c r="C701" s="11"/>
      <c r="D701" s="11"/>
      <c r="E701" s="11"/>
      <c r="F701" s="11"/>
      <c r="G701" s="11"/>
      <c r="H701" s="11"/>
      <c r="I701" s="11"/>
      <c r="J701" s="249"/>
      <c r="K701" s="72"/>
      <c r="L701" s="73"/>
      <c r="M701" s="73"/>
      <c r="N701" s="74"/>
      <c r="O701" s="75"/>
      <c r="P701" s="73"/>
      <c r="Q701" s="76"/>
      <c r="R701" s="76"/>
      <c r="S701" s="76"/>
      <c r="T701" s="76"/>
      <c r="U701" s="76"/>
      <c r="V701" s="76"/>
      <c r="W701" s="76"/>
      <c r="X701" s="76"/>
      <c r="Y701" s="76"/>
      <c r="Z701" s="77"/>
      <c r="AA701" s="77"/>
      <c r="AB701" s="77"/>
      <c r="AC701" s="77"/>
      <c r="AD701" s="77"/>
      <c r="AE701" s="77"/>
      <c r="AF701" s="77"/>
      <c r="AG701" s="77"/>
      <c r="AH701" s="78"/>
      <c r="AI701" s="78"/>
      <c r="AJ701" s="78"/>
      <c r="AK701" s="78"/>
      <c r="AL701" s="78"/>
      <c r="AM701" s="78"/>
      <c r="AN701" s="76"/>
      <c r="AO701" s="76"/>
      <c r="AP701" s="76"/>
      <c r="AQ701" s="76"/>
      <c r="AR701" s="76"/>
      <c r="AS701" s="76"/>
      <c r="AT701" s="76"/>
      <c r="AU701" s="76"/>
      <c r="AV701" s="76"/>
      <c r="AW701" s="79"/>
      <c r="AX701" s="79"/>
      <c r="AY701" s="79"/>
      <c r="AZ701" s="79"/>
      <c r="BA701" s="79"/>
      <c r="BB701" s="11"/>
      <c r="BC701" s="11"/>
      <c r="BD701" s="11"/>
      <c r="BE701" s="73"/>
      <c r="BF701" s="73"/>
      <c r="BG701" s="73"/>
      <c r="BH701" s="77"/>
      <c r="BI701" s="77"/>
      <c r="BJ701" s="77"/>
      <c r="BK701" s="77"/>
      <c r="BL701" s="77"/>
      <c r="BM701" s="77"/>
      <c r="BN701" s="158"/>
      <c r="BO701" s="158"/>
    </row>
    <row r="702" spans="1:67" ht="15" x14ac:dyDescent="0.25">
      <c r="A702" s="71"/>
      <c r="B702" s="11"/>
      <c r="C702" s="11"/>
      <c r="D702" s="11"/>
      <c r="E702" s="11"/>
      <c r="F702" s="11"/>
      <c r="G702" s="11"/>
      <c r="H702" s="11"/>
      <c r="I702" s="11"/>
      <c r="J702" s="249"/>
      <c r="K702" s="72"/>
      <c r="L702" s="73"/>
      <c r="M702" s="73"/>
      <c r="N702" s="74"/>
      <c r="O702" s="75"/>
      <c r="P702" s="73"/>
      <c r="Q702" s="76"/>
      <c r="R702" s="76"/>
      <c r="S702" s="76"/>
      <c r="T702" s="76"/>
      <c r="U702" s="76"/>
      <c r="V702" s="76"/>
      <c r="W702" s="76"/>
      <c r="X702" s="76"/>
      <c r="Y702" s="76"/>
      <c r="Z702" s="77"/>
      <c r="AA702" s="77"/>
      <c r="AB702" s="77"/>
      <c r="AC702" s="77"/>
      <c r="AD702" s="77"/>
      <c r="AE702" s="77"/>
      <c r="AF702" s="77"/>
      <c r="AG702" s="77"/>
      <c r="AH702" s="78"/>
      <c r="AI702" s="78"/>
      <c r="AJ702" s="78"/>
      <c r="AK702" s="78"/>
      <c r="AL702" s="78"/>
      <c r="AM702" s="78"/>
      <c r="AN702" s="76"/>
      <c r="AO702" s="76"/>
      <c r="AP702" s="76"/>
      <c r="AQ702" s="76"/>
      <c r="AR702" s="76"/>
      <c r="AS702" s="76"/>
      <c r="AT702" s="76"/>
      <c r="AU702" s="76"/>
      <c r="AV702" s="76"/>
      <c r="AW702" s="79"/>
      <c r="AX702" s="79"/>
      <c r="AY702" s="79"/>
      <c r="AZ702" s="79"/>
      <c r="BA702" s="79"/>
      <c r="BB702" s="11"/>
      <c r="BC702" s="11"/>
      <c r="BD702" s="11"/>
      <c r="BE702" s="73"/>
      <c r="BF702" s="73"/>
      <c r="BG702" s="73"/>
      <c r="BH702" s="77"/>
      <c r="BI702" s="77"/>
      <c r="BJ702" s="77"/>
      <c r="BK702" s="77"/>
      <c r="BL702" s="77"/>
      <c r="BM702" s="77"/>
      <c r="BN702" s="158"/>
      <c r="BO702" s="158"/>
    </row>
    <row r="703" spans="1:67" ht="15" x14ac:dyDescent="0.25">
      <c r="A703" s="71"/>
      <c r="B703" s="11"/>
      <c r="C703" s="11"/>
      <c r="D703" s="11"/>
      <c r="E703" s="11"/>
      <c r="F703" s="11"/>
      <c r="G703" s="11"/>
      <c r="H703" s="11"/>
      <c r="I703" s="11"/>
      <c r="J703" s="249"/>
      <c r="K703" s="72"/>
      <c r="L703" s="73"/>
      <c r="M703" s="73"/>
      <c r="N703" s="74"/>
      <c r="O703" s="75"/>
      <c r="P703" s="73"/>
      <c r="Q703" s="76"/>
      <c r="R703" s="76"/>
      <c r="S703" s="76"/>
      <c r="T703" s="76"/>
      <c r="U703" s="76"/>
      <c r="V703" s="76"/>
      <c r="W703" s="76"/>
      <c r="X703" s="76"/>
      <c r="Y703" s="76"/>
      <c r="Z703" s="77"/>
      <c r="AA703" s="77"/>
      <c r="AB703" s="77"/>
      <c r="AC703" s="77"/>
      <c r="AD703" s="77"/>
      <c r="AE703" s="77"/>
      <c r="AF703" s="77"/>
      <c r="AG703" s="77"/>
      <c r="AH703" s="78"/>
      <c r="AI703" s="78"/>
      <c r="AJ703" s="78"/>
      <c r="AK703" s="78"/>
      <c r="AL703" s="78"/>
      <c r="AM703" s="78"/>
      <c r="AN703" s="76"/>
      <c r="AO703" s="76"/>
      <c r="AP703" s="76"/>
      <c r="AQ703" s="76"/>
      <c r="AR703" s="76"/>
      <c r="AS703" s="76"/>
      <c r="AT703" s="76"/>
      <c r="AU703" s="76"/>
      <c r="AV703" s="76"/>
      <c r="AW703" s="79"/>
      <c r="AX703" s="79"/>
      <c r="AY703" s="79"/>
      <c r="AZ703" s="79"/>
      <c r="BA703" s="79"/>
      <c r="BB703" s="11"/>
      <c r="BC703" s="11"/>
      <c r="BD703" s="11"/>
      <c r="BE703" s="73"/>
      <c r="BF703" s="73"/>
      <c r="BG703" s="73"/>
      <c r="BH703" s="77"/>
      <c r="BI703" s="77"/>
      <c r="BJ703" s="77"/>
      <c r="BK703" s="77"/>
      <c r="BL703" s="77"/>
      <c r="BM703" s="77"/>
      <c r="BN703" s="158"/>
      <c r="BO703" s="158"/>
    </row>
    <row r="704" spans="1:67" ht="15" x14ac:dyDescent="0.25">
      <c r="A704" s="71"/>
      <c r="B704" s="11"/>
      <c r="C704" s="11"/>
      <c r="D704" s="11"/>
      <c r="E704" s="11"/>
      <c r="F704" s="11"/>
      <c r="G704" s="11"/>
      <c r="H704" s="11"/>
      <c r="I704" s="11"/>
      <c r="J704" s="249"/>
      <c r="K704" s="72"/>
      <c r="L704" s="73"/>
      <c r="M704" s="73"/>
      <c r="N704" s="74"/>
      <c r="O704" s="75"/>
      <c r="P704" s="73"/>
      <c r="Q704" s="76"/>
      <c r="R704" s="76"/>
      <c r="S704" s="76"/>
      <c r="T704" s="76"/>
      <c r="U704" s="76"/>
      <c r="V704" s="76"/>
      <c r="W704" s="76"/>
      <c r="X704" s="76"/>
      <c r="Y704" s="76"/>
      <c r="Z704" s="77"/>
      <c r="AA704" s="77"/>
      <c r="AB704" s="77"/>
      <c r="AC704" s="77"/>
      <c r="AD704" s="77"/>
      <c r="AE704" s="77"/>
      <c r="AF704" s="77"/>
      <c r="AG704" s="77"/>
      <c r="AH704" s="78"/>
      <c r="AI704" s="78"/>
      <c r="AJ704" s="78"/>
      <c r="AK704" s="78"/>
      <c r="AL704" s="78"/>
      <c r="AM704" s="78"/>
      <c r="AN704" s="76"/>
      <c r="AO704" s="76"/>
      <c r="AP704" s="76"/>
      <c r="AQ704" s="76"/>
      <c r="AR704" s="76"/>
      <c r="AS704" s="76"/>
      <c r="AT704" s="76"/>
      <c r="AU704" s="76"/>
      <c r="AV704" s="76"/>
      <c r="AW704" s="79"/>
      <c r="AX704" s="79"/>
      <c r="AY704" s="79"/>
      <c r="AZ704" s="79"/>
      <c r="BA704" s="79"/>
      <c r="BB704" s="11"/>
      <c r="BC704" s="11"/>
      <c r="BD704" s="11"/>
      <c r="BE704" s="73"/>
      <c r="BF704" s="73"/>
      <c r="BG704" s="73"/>
      <c r="BH704" s="77"/>
      <c r="BI704" s="77"/>
      <c r="BJ704" s="77"/>
      <c r="BK704" s="77"/>
      <c r="BL704" s="77"/>
      <c r="BM704" s="77"/>
      <c r="BN704" s="158"/>
      <c r="BO704" s="158"/>
    </row>
    <row r="705" spans="1:67" ht="15" x14ac:dyDescent="0.25">
      <c r="A705" s="71"/>
      <c r="B705" s="11"/>
      <c r="C705" s="11"/>
      <c r="D705" s="11"/>
      <c r="E705" s="11"/>
      <c r="F705" s="11"/>
      <c r="G705" s="11"/>
      <c r="H705" s="11"/>
      <c r="I705" s="11"/>
      <c r="J705" s="249"/>
      <c r="K705" s="72"/>
      <c r="L705" s="73"/>
      <c r="M705" s="73"/>
      <c r="N705" s="74"/>
      <c r="O705" s="75"/>
      <c r="P705" s="73"/>
      <c r="Q705" s="76"/>
      <c r="R705" s="76"/>
      <c r="S705" s="76"/>
      <c r="T705" s="76"/>
      <c r="U705" s="76"/>
      <c r="V705" s="76"/>
      <c r="W705" s="76"/>
      <c r="X705" s="76"/>
      <c r="Y705" s="76"/>
      <c r="Z705" s="77"/>
      <c r="AA705" s="77"/>
      <c r="AB705" s="77"/>
      <c r="AC705" s="77"/>
      <c r="AD705" s="77"/>
      <c r="AE705" s="77"/>
      <c r="AF705" s="77"/>
      <c r="AG705" s="77"/>
      <c r="AH705" s="78"/>
      <c r="AI705" s="78"/>
      <c r="AJ705" s="78"/>
      <c r="AK705" s="78"/>
      <c r="AL705" s="78"/>
      <c r="AM705" s="78"/>
      <c r="AN705" s="76"/>
      <c r="AO705" s="76"/>
      <c r="AP705" s="76"/>
      <c r="AQ705" s="76"/>
      <c r="AR705" s="76"/>
      <c r="AS705" s="76"/>
      <c r="AT705" s="76"/>
      <c r="AU705" s="76"/>
      <c r="AV705" s="76"/>
      <c r="AW705" s="79"/>
      <c r="AX705" s="79"/>
      <c r="AY705" s="79"/>
      <c r="AZ705" s="79"/>
      <c r="BA705" s="79"/>
      <c r="BB705" s="11"/>
      <c r="BC705" s="11"/>
      <c r="BD705" s="11"/>
      <c r="BE705" s="73"/>
      <c r="BF705" s="73"/>
      <c r="BG705" s="73"/>
      <c r="BH705" s="77"/>
      <c r="BI705" s="77"/>
      <c r="BJ705" s="77"/>
      <c r="BK705" s="77"/>
      <c r="BL705" s="77"/>
      <c r="BM705" s="77"/>
      <c r="BN705" s="158"/>
      <c r="BO705" s="158"/>
    </row>
    <row r="706" spans="1:67" ht="15" x14ac:dyDescent="0.25">
      <c r="A706" s="71"/>
      <c r="B706" s="11"/>
      <c r="C706" s="11"/>
      <c r="D706" s="11"/>
      <c r="E706" s="11"/>
      <c r="F706" s="11"/>
      <c r="G706" s="11"/>
      <c r="H706" s="11"/>
      <c r="I706" s="11"/>
      <c r="J706" s="249"/>
      <c r="K706" s="72"/>
      <c r="L706" s="73"/>
      <c r="M706" s="73"/>
      <c r="N706" s="74"/>
      <c r="O706" s="75"/>
      <c r="P706" s="73"/>
      <c r="Q706" s="76"/>
      <c r="R706" s="76"/>
      <c r="S706" s="76"/>
      <c r="T706" s="76"/>
      <c r="U706" s="76"/>
      <c r="V706" s="76"/>
      <c r="W706" s="76"/>
      <c r="X706" s="76"/>
      <c r="Y706" s="76"/>
      <c r="Z706" s="77"/>
      <c r="AA706" s="77"/>
      <c r="AB706" s="77"/>
      <c r="AC706" s="77"/>
      <c r="AD706" s="77"/>
      <c r="AE706" s="77"/>
      <c r="AF706" s="77"/>
      <c r="AG706" s="77"/>
      <c r="AH706" s="78"/>
      <c r="AI706" s="78"/>
      <c r="AJ706" s="78"/>
      <c r="AK706" s="78"/>
      <c r="AL706" s="78"/>
      <c r="AM706" s="78"/>
      <c r="AN706" s="76"/>
      <c r="AO706" s="76"/>
      <c r="AP706" s="76"/>
      <c r="AQ706" s="76"/>
      <c r="AR706" s="76"/>
      <c r="AS706" s="76"/>
      <c r="AT706" s="76"/>
      <c r="AU706" s="76"/>
      <c r="AV706" s="76"/>
      <c r="AW706" s="79"/>
      <c r="AX706" s="79"/>
      <c r="AY706" s="79"/>
      <c r="AZ706" s="79"/>
      <c r="BA706" s="79"/>
      <c r="BB706" s="11"/>
      <c r="BC706" s="11"/>
      <c r="BD706" s="11"/>
      <c r="BE706" s="73"/>
      <c r="BF706" s="73"/>
      <c r="BG706" s="73"/>
      <c r="BH706" s="77"/>
      <c r="BI706" s="77"/>
      <c r="BJ706" s="77"/>
      <c r="BK706" s="77"/>
      <c r="BL706" s="77"/>
      <c r="BM706" s="77"/>
      <c r="BN706" s="158"/>
      <c r="BO706" s="158"/>
    </row>
    <row r="707" spans="1:67" ht="15" x14ac:dyDescent="0.25">
      <c r="A707" s="71"/>
      <c r="B707" s="11"/>
      <c r="C707" s="11"/>
      <c r="D707" s="11"/>
      <c r="E707" s="11"/>
      <c r="F707" s="11"/>
      <c r="G707" s="11"/>
      <c r="H707" s="11"/>
      <c r="I707" s="11"/>
      <c r="J707" s="249"/>
      <c r="K707" s="72"/>
      <c r="L707" s="73"/>
      <c r="M707" s="73"/>
      <c r="N707" s="74"/>
      <c r="O707" s="75"/>
      <c r="P707" s="73"/>
      <c r="Q707" s="76"/>
      <c r="R707" s="76"/>
      <c r="S707" s="76"/>
      <c r="T707" s="76"/>
      <c r="U707" s="76"/>
      <c r="V707" s="76"/>
      <c r="W707" s="76"/>
      <c r="X707" s="76"/>
      <c r="Y707" s="76"/>
      <c r="Z707" s="77"/>
      <c r="AA707" s="77"/>
      <c r="AB707" s="77"/>
      <c r="AC707" s="77"/>
      <c r="AD707" s="77"/>
      <c r="AE707" s="77"/>
      <c r="AF707" s="77"/>
      <c r="AG707" s="77"/>
      <c r="AH707" s="78"/>
      <c r="AI707" s="78"/>
      <c r="AJ707" s="78"/>
      <c r="AK707" s="78"/>
      <c r="AL707" s="78"/>
      <c r="AM707" s="78"/>
      <c r="AN707" s="76"/>
      <c r="AO707" s="76"/>
      <c r="AP707" s="76"/>
      <c r="AQ707" s="76"/>
      <c r="AR707" s="76"/>
      <c r="AS707" s="76"/>
      <c r="AT707" s="76"/>
      <c r="AU707" s="76"/>
      <c r="AV707" s="76"/>
      <c r="AW707" s="79"/>
      <c r="AX707" s="79"/>
      <c r="AY707" s="79"/>
      <c r="AZ707" s="79"/>
      <c r="BA707" s="79"/>
      <c r="BB707" s="11"/>
      <c r="BC707" s="11"/>
      <c r="BD707" s="11"/>
      <c r="BE707" s="73"/>
      <c r="BF707" s="73"/>
      <c r="BG707" s="73"/>
      <c r="BH707" s="77"/>
      <c r="BI707" s="77"/>
      <c r="BJ707" s="77"/>
      <c r="BK707" s="77"/>
      <c r="BL707" s="77"/>
      <c r="BM707" s="77"/>
      <c r="BN707" s="158"/>
      <c r="BO707" s="158"/>
    </row>
    <row r="708" spans="1:67" ht="15" x14ac:dyDescent="0.25">
      <c r="A708" s="71"/>
      <c r="B708" s="11"/>
      <c r="C708" s="11"/>
      <c r="D708" s="11"/>
      <c r="E708" s="11"/>
      <c r="F708" s="11"/>
      <c r="G708" s="11"/>
      <c r="H708" s="11"/>
      <c r="I708" s="11"/>
      <c r="J708" s="249"/>
      <c r="K708" s="72"/>
      <c r="L708" s="73"/>
      <c r="M708" s="73"/>
      <c r="N708" s="74"/>
      <c r="O708" s="75"/>
      <c r="P708" s="73"/>
      <c r="Q708" s="76"/>
      <c r="R708" s="76"/>
      <c r="S708" s="76"/>
      <c r="T708" s="76"/>
      <c r="U708" s="76"/>
      <c r="V708" s="76"/>
      <c r="W708" s="76"/>
      <c r="X708" s="76"/>
      <c r="Y708" s="76"/>
      <c r="Z708" s="77"/>
      <c r="AA708" s="77"/>
      <c r="AB708" s="77"/>
      <c r="AC708" s="77"/>
      <c r="AD708" s="77"/>
      <c r="AE708" s="77"/>
      <c r="AF708" s="77"/>
      <c r="AG708" s="77"/>
      <c r="AH708" s="78"/>
      <c r="AI708" s="78"/>
      <c r="AJ708" s="78"/>
      <c r="AK708" s="78"/>
      <c r="AL708" s="78"/>
      <c r="AM708" s="78"/>
      <c r="AN708" s="76"/>
      <c r="AO708" s="76"/>
      <c r="AP708" s="76"/>
      <c r="AQ708" s="76"/>
      <c r="AR708" s="76"/>
      <c r="AS708" s="76"/>
      <c r="AT708" s="76"/>
      <c r="AU708" s="76"/>
      <c r="AV708" s="76"/>
      <c r="AW708" s="79"/>
      <c r="AX708" s="79"/>
      <c r="AY708" s="79"/>
      <c r="AZ708" s="79"/>
      <c r="BA708" s="79"/>
      <c r="BB708" s="11"/>
      <c r="BC708" s="11"/>
      <c r="BD708" s="11"/>
      <c r="BE708" s="73"/>
      <c r="BF708" s="73"/>
      <c r="BG708" s="73"/>
      <c r="BH708" s="77"/>
      <c r="BI708" s="77"/>
      <c r="BJ708" s="77"/>
      <c r="BK708" s="77"/>
      <c r="BL708" s="77"/>
      <c r="BM708" s="77"/>
      <c r="BN708" s="158"/>
      <c r="BO708" s="158"/>
    </row>
    <row r="709" spans="1:67" ht="15" x14ac:dyDescent="0.25">
      <c r="A709" s="71"/>
      <c r="B709" s="11"/>
      <c r="C709" s="11"/>
      <c r="D709" s="11"/>
      <c r="E709" s="11"/>
      <c r="F709" s="11"/>
      <c r="G709" s="11"/>
      <c r="H709" s="11"/>
      <c r="I709" s="11"/>
      <c r="J709" s="249"/>
      <c r="K709" s="72"/>
      <c r="L709" s="73"/>
      <c r="M709" s="73"/>
      <c r="N709" s="74"/>
      <c r="O709" s="75"/>
      <c r="P709" s="73"/>
      <c r="Q709" s="76"/>
      <c r="R709" s="76"/>
      <c r="S709" s="76"/>
      <c r="T709" s="76"/>
      <c r="U709" s="76"/>
      <c r="V709" s="76"/>
      <c r="W709" s="76"/>
      <c r="X709" s="76"/>
      <c r="Y709" s="76"/>
      <c r="Z709" s="77"/>
      <c r="AA709" s="77"/>
      <c r="AB709" s="77"/>
      <c r="AC709" s="77"/>
      <c r="AD709" s="77"/>
      <c r="AE709" s="77"/>
      <c r="AF709" s="77"/>
      <c r="AG709" s="77"/>
      <c r="AH709" s="78"/>
      <c r="AI709" s="78"/>
      <c r="AJ709" s="78"/>
      <c r="AK709" s="78"/>
      <c r="AL709" s="78"/>
      <c r="AM709" s="78"/>
      <c r="AN709" s="76"/>
      <c r="AO709" s="76"/>
      <c r="AP709" s="76"/>
      <c r="AQ709" s="76"/>
      <c r="AR709" s="76"/>
      <c r="AS709" s="76"/>
      <c r="AT709" s="76"/>
      <c r="AU709" s="76"/>
      <c r="AV709" s="76"/>
      <c r="AW709" s="79"/>
      <c r="AX709" s="79"/>
      <c r="AY709" s="79"/>
      <c r="AZ709" s="79"/>
      <c r="BA709" s="79"/>
      <c r="BB709" s="11"/>
      <c r="BC709" s="11"/>
      <c r="BD709" s="11"/>
      <c r="BE709" s="73"/>
      <c r="BF709" s="73"/>
      <c r="BG709" s="73"/>
      <c r="BH709" s="77"/>
      <c r="BI709" s="77"/>
      <c r="BJ709" s="77"/>
      <c r="BK709" s="77"/>
      <c r="BL709" s="77"/>
      <c r="BM709" s="77"/>
      <c r="BN709" s="158"/>
      <c r="BO709" s="158"/>
    </row>
    <row r="710" spans="1:67" ht="15" x14ac:dyDescent="0.25">
      <c r="A710" s="71"/>
      <c r="B710" s="11"/>
      <c r="C710" s="11"/>
      <c r="D710" s="11"/>
      <c r="E710" s="11"/>
      <c r="F710" s="11"/>
      <c r="G710" s="11"/>
      <c r="H710" s="11"/>
      <c r="I710" s="11"/>
      <c r="J710" s="249"/>
      <c r="K710" s="72"/>
      <c r="L710" s="73"/>
      <c r="M710" s="73"/>
      <c r="N710" s="74"/>
      <c r="O710" s="75"/>
      <c r="P710" s="73"/>
      <c r="Q710" s="76"/>
      <c r="R710" s="76"/>
      <c r="S710" s="76"/>
      <c r="T710" s="76"/>
      <c r="U710" s="76"/>
      <c r="V710" s="76"/>
      <c r="W710" s="76"/>
      <c r="X710" s="76"/>
      <c r="Y710" s="76"/>
      <c r="Z710" s="77"/>
      <c r="AA710" s="77"/>
      <c r="AB710" s="77"/>
      <c r="AC710" s="77"/>
      <c r="AD710" s="77"/>
      <c r="AE710" s="77"/>
      <c r="AF710" s="77"/>
      <c r="AG710" s="77"/>
      <c r="AH710" s="78"/>
      <c r="AI710" s="78"/>
      <c r="AJ710" s="78"/>
      <c r="AK710" s="78"/>
      <c r="AL710" s="78"/>
      <c r="AM710" s="78"/>
      <c r="AN710" s="76"/>
      <c r="AO710" s="76"/>
      <c r="AP710" s="76"/>
      <c r="AQ710" s="76"/>
      <c r="AR710" s="76"/>
      <c r="AS710" s="76"/>
      <c r="AT710" s="76"/>
      <c r="AU710" s="76"/>
      <c r="AV710" s="76"/>
      <c r="AW710" s="79"/>
      <c r="AX710" s="79"/>
      <c r="AY710" s="79"/>
      <c r="AZ710" s="79"/>
      <c r="BA710" s="79"/>
      <c r="BB710" s="11"/>
      <c r="BC710" s="11"/>
      <c r="BD710" s="11"/>
      <c r="BE710" s="73"/>
      <c r="BF710" s="73"/>
      <c r="BG710" s="73"/>
      <c r="BH710" s="77"/>
      <c r="BI710" s="77"/>
      <c r="BJ710" s="77"/>
      <c r="BK710" s="77"/>
      <c r="BL710" s="77"/>
      <c r="BM710" s="77"/>
      <c r="BN710" s="158"/>
      <c r="BO710" s="158"/>
    </row>
    <row r="711" spans="1:67" ht="15" x14ac:dyDescent="0.25">
      <c r="A711" s="71"/>
      <c r="B711" s="11"/>
      <c r="C711" s="11"/>
      <c r="D711" s="11"/>
      <c r="E711" s="11"/>
      <c r="F711" s="11"/>
      <c r="G711" s="11"/>
      <c r="H711" s="11"/>
      <c r="I711" s="11"/>
      <c r="J711" s="249"/>
      <c r="K711" s="72"/>
      <c r="L711" s="73"/>
      <c r="M711" s="73"/>
      <c r="N711" s="74"/>
      <c r="O711" s="75"/>
      <c r="P711" s="73"/>
      <c r="Q711" s="76"/>
      <c r="R711" s="76"/>
      <c r="S711" s="76"/>
      <c r="T711" s="76"/>
      <c r="U711" s="76"/>
      <c r="V711" s="76"/>
      <c r="W711" s="76"/>
      <c r="X711" s="76"/>
      <c r="Y711" s="76"/>
      <c r="Z711" s="77"/>
      <c r="AA711" s="77"/>
      <c r="AB711" s="77"/>
      <c r="AC711" s="77"/>
      <c r="AD711" s="77"/>
      <c r="AE711" s="77"/>
      <c r="AF711" s="77"/>
      <c r="AG711" s="77"/>
      <c r="AH711" s="78"/>
      <c r="AI711" s="78"/>
      <c r="AJ711" s="78"/>
      <c r="AK711" s="78"/>
      <c r="AL711" s="78"/>
      <c r="AM711" s="78"/>
      <c r="AN711" s="76"/>
      <c r="AO711" s="76"/>
      <c r="AP711" s="76"/>
      <c r="AQ711" s="76"/>
      <c r="AR711" s="76"/>
      <c r="AS711" s="76"/>
      <c r="AT711" s="76"/>
      <c r="AU711" s="76"/>
      <c r="AV711" s="76"/>
      <c r="AW711" s="79"/>
      <c r="AX711" s="79"/>
      <c r="AY711" s="79"/>
      <c r="AZ711" s="79"/>
      <c r="BA711" s="79"/>
      <c r="BB711" s="11"/>
      <c r="BC711" s="11"/>
      <c r="BD711" s="11"/>
      <c r="BE711" s="73"/>
      <c r="BF711" s="73"/>
      <c r="BG711" s="73"/>
      <c r="BH711" s="77"/>
      <c r="BI711" s="77"/>
      <c r="BJ711" s="77"/>
      <c r="BK711" s="77"/>
      <c r="BL711" s="77"/>
      <c r="BM711" s="77"/>
      <c r="BN711" s="158"/>
      <c r="BO711" s="158"/>
    </row>
    <row r="712" spans="1:67" ht="15" x14ac:dyDescent="0.25">
      <c r="A712" s="71"/>
      <c r="B712" s="11"/>
      <c r="C712" s="11"/>
      <c r="D712" s="11"/>
      <c r="E712" s="11"/>
      <c r="F712" s="11"/>
      <c r="G712" s="11"/>
      <c r="H712" s="11"/>
      <c r="I712" s="11"/>
      <c r="J712" s="249"/>
      <c r="K712" s="72"/>
      <c r="L712" s="73"/>
      <c r="M712" s="73"/>
      <c r="N712" s="74"/>
      <c r="O712" s="75"/>
      <c r="P712" s="73"/>
      <c r="Q712" s="76"/>
      <c r="R712" s="76"/>
      <c r="S712" s="76"/>
      <c r="T712" s="76"/>
      <c r="U712" s="76"/>
      <c r="V712" s="76"/>
      <c r="W712" s="76"/>
      <c r="X712" s="76"/>
      <c r="Y712" s="76"/>
      <c r="Z712" s="77"/>
      <c r="AA712" s="77"/>
      <c r="AB712" s="77"/>
      <c r="AC712" s="77"/>
      <c r="AD712" s="77"/>
      <c r="AE712" s="77"/>
      <c r="AF712" s="77"/>
      <c r="AG712" s="77"/>
      <c r="AH712" s="78"/>
      <c r="AI712" s="78"/>
      <c r="AJ712" s="78"/>
      <c r="AK712" s="78"/>
      <c r="AL712" s="78"/>
      <c r="AM712" s="78"/>
      <c r="AN712" s="76"/>
      <c r="AO712" s="76"/>
      <c r="AP712" s="76"/>
      <c r="AQ712" s="76"/>
      <c r="AR712" s="76"/>
      <c r="AS712" s="76"/>
      <c r="AT712" s="76"/>
      <c r="AU712" s="76"/>
      <c r="AV712" s="76"/>
      <c r="AW712" s="79"/>
      <c r="AX712" s="79"/>
      <c r="AY712" s="79"/>
      <c r="AZ712" s="79"/>
      <c r="BA712" s="79"/>
      <c r="BB712" s="11"/>
      <c r="BC712" s="11"/>
      <c r="BD712" s="11"/>
      <c r="BE712" s="73"/>
      <c r="BF712" s="73"/>
      <c r="BG712" s="73"/>
      <c r="BH712" s="77"/>
      <c r="BI712" s="77"/>
      <c r="BJ712" s="77"/>
      <c r="BK712" s="77"/>
      <c r="BL712" s="77"/>
      <c r="BM712" s="77"/>
      <c r="BN712" s="158"/>
      <c r="BO712" s="158"/>
    </row>
    <row r="713" spans="1:67" ht="15" x14ac:dyDescent="0.25">
      <c r="A713" s="71"/>
      <c r="B713" s="11"/>
      <c r="C713" s="11"/>
      <c r="D713" s="11"/>
      <c r="E713" s="11"/>
      <c r="F713" s="11"/>
      <c r="G713" s="11"/>
      <c r="H713" s="11"/>
      <c r="I713" s="11"/>
      <c r="J713" s="249"/>
      <c r="K713" s="72"/>
      <c r="L713" s="73"/>
      <c r="M713" s="73"/>
      <c r="N713" s="74"/>
      <c r="O713" s="75"/>
      <c r="P713" s="73"/>
      <c r="Q713" s="76"/>
      <c r="R713" s="76"/>
      <c r="S713" s="76"/>
      <c r="T713" s="76"/>
      <c r="U713" s="76"/>
      <c r="V713" s="76"/>
      <c r="W713" s="76"/>
      <c r="X713" s="76"/>
      <c r="Y713" s="76"/>
      <c r="Z713" s="77"/>
      <c r="AA713" s="77"/>
      <c r="AB713" s="77"/>
      <c r="AC713" s="77"/>
      <c r="AD713" s="77"/>
      <c r="AE713" s="77"/>
      <c r="AF713" s="77"/>
      <c r="AG713" s="77"/>
      <c r="AH713" s="78"/>
      <c r="AI713" s="78"/>
      <c r="AJ713" s="78"/>
      <c r="AK713" s="78"/>
      <c r="AL713" s="78"/>
      <c r="AM713" s="78"/>
      <c r="AN713" s="76"/>
      <c r="AO713" s="76"/>
      <c r="AP713" s="76"/>
      <c r="AQ713" s="76"/>
      <c r="AR713" s="76"/>
      <c r="AS713" s="76"/>
      <c r="AT713" s="76"/>
      <c r="AU713" s="76"/>
      <c r="AV713" s="76"/>
      <c r="AW713" s="79"/>
      <c r="AX713" s="79"/>
      <c r="AY713" s="79"/>
      <c r="AZ713" s="79"/>
      <c r="BA713" s="79"/>
      <c r="BB713" s="11"/>
      <c r="BC713" s="11"/>
      <c r="BD713" s="11"/>
      <c r="BE713" s="73"/>
      <c r="BF713" s="73"/>
      <c r="BG713" s="73"/>
      <c r="BH713" s="77"/>
      <c r="BI713" s="77"/>
      <c r="BJ713" s="77"/>
      <c r="BK713" s="77"/>
      <c r="BL713" s="77"/>
      <c r="BM713" s="77"/>
      <c r="BN713" s="158"/>
      <c r="BO713" s="158"/>
    </row>
    <row r="714" spans="1:67" ht="15" x14ac:dyDescent="0.25">
      <c r="A714" s="71"/>
      <c r="B714" s="11"/>
      <c r="C714" s="11"/>
      <c r="D714" s="11"/>
      <c r="E714" s="11"/>
      <c r="F714" s="11"/>
      <c r="G714" s="11"/>
      <c r="H714" s="11"/>
      <c r="I714" s="11"/>
      <c r="J714" s="249"/>
      <c r="K714" s="72"/>
      <c r="L714" s="73"/>
      <c r="M714" s="73"/>
      <c r="N714" s="74"/>
      <c r="O714" s="75"/>
      <c r="P714" s="73"/>
      <c r="Q714" s="76"/>
      <c r="R714" s="76"/>
      <c r="S714" s="76"/>
      <c r="T714" s="76"/>
      <c r="U714" s="76"/>
      <c r="V714" s="76"/>
      <c r="W714" s="76"/>
      <c r="X714" s="76"/>
      <c r="Y714" s="76"/>
      <c r="Z714" s="77"/>
      <c r="AA714" s="77"/>
      <c r="AB714" s="77"/>
      <c r="AC714" s="77"/>
      <c r="AD714" s="77"/>
      <c r="AE714" s="77"/>
      <c r="AF714" s="77"/>
      <c r="AG714" s="77"/>
      <c r="AH714" s="78"/>
      <c r="AI714" s="78"/>
      <c r="AJ714" s="78"/>
      <c r="AK714" s="78"/>
      <c r="AL714" s="78"/>
      <c r="AM714" s="78"/>
      <c r="AN714" s="76"/>
      <c r="AO714" s="76"/>
      <c r="AP714" s="76"/>
      <c r="AQ714" s="76"/>
      <c r="AR714" s="76"/>
      <c r="AS714" s="76"/>
      <c r="AT714" s="76"/>
      <c r="AU714" s="76"/>
      <c r="AV714" s="76"/>
      <c r="AW714" s="79"/>
      <c r="AX714" s="79"/>
      <c r="AY714" s="79"/>
      <c r="AZ714" s="79"/>
      <c r="BA714" s="79"/>
      <c r="BB714" s="11"/>
      <c r="BC714" s="11"/>
      <c r="BD714" s="11"/>
      <c r="BE714" s="73"/>
      <c r="BF714" s="73"/>
      <c r="BG714" s="73"/>
      <c r="BH714" s="77"/>
      <c r="BI714" s="77"/>
      <c r="BJ714" s="77"/>
      <c r="BK714" s="77"/>
      <c r="BL714" s="77"/>
      <c r="BM714" s="77"/>
      <c r="BN714" s="158"/>
      <c r="BO714" s="158"/>
    </row>
    <row r="715" spans="1:67" ht="15" x14ac:dyDescent="0.25">
      <c r="A715" s="71"/>
      <c r="B715" s="11"/>
      <c r="C715" s="11"/>
      <c r="D715" s="11"/>
      <c r="E715" s="11"/>
      <c r="F715" s="11"/>
      <c r="G715" s="11"/>
      <c r="H715" s="11"/>
      <c r="I715" s="11"/>
      <c r="J715" s="249"/>
      <c r="K715" s="72"/>
      <c r="L715" s="73"/>
      <c r="M715" s="73"/>
      <c r="N715" s="74"/>
      <c r="O715" s="75"/>
      <c r="P715" s="73"/>
      <c r="Q715" s="76"/>
      <c r="R715" s="76"/>
      <c r="S715" s="76"/>
      <c r="T715" s="76"/>
      <c r="U715" s="76"/>
      <c r="V715" s="76"/>
      <c r="W715" s="76"/>
      <c r="X715" s="76"/>
      <c r="Y715" s="76"/>
      <c r="Z715" s="77"/>
      <c r="AA715" s="77"/>
      <c r="AB715" s="77"/>
      <c r="AC715" s="77"/>
      <c r="AD715" s="77"/>
      <c r="AE715" s="77"/>
      <c r="AF715" s="77"/>
      <c r="AG715" s="77"/>
      <c r="AH715" s="78"/>
      <c r="AI715" s="78"/>
      <c r="AJ715" s="78"/>
      <c r="AK715" s="78"/>
      <c r="AL715" s="78"/>
      <c r="AM715" s="78"/>
      <c r="AN715" s="76"/>
      <c r="AO715" s="76"/>
      <c r="AP715" s="76"/>
      <c r="AQ715" s="76"/>
      <c r="AR715" s="76"/>
      <c r="AS715" s="76"/>
      <c r="AT715" s="76"/>
      <c r="AU715" s="76"/>
      <c r="AV715" s="76"/>
      <c r="AW715" s="79"/>
      <c r="AX715" s="79"/>
      <c r="AY715" s="79"/>
      <c r="AZ715" s="79"/>
      <c r="BA715" s="79"/>
      <c r="BB715" s="11"/>
      <c r="BC715" s="11"/>
      <c r="BD715" s="11"/>
      <c r="BE715" s="73"/>
      <c r="BF715" s="73"/>
      <c r="BG715" s="73"/>
      <c r="BH715" s="77"/>
      <c r="BI715" s="77"/>
      <c r="BJ715" s="77"/>
      <c r="BK715" s="77"/>
      <c r="BL715" s="77"/>
      <c r="BM715" s="77"/>
      <c r="BN715" s="158"/>
      <c r="BO715" s="158"/>
    </row>
    <row r="716" spans="1:67" ht="15" x14ac:dyDescent="0.25">
      <c r="A716" s="71"/>
      <c r="B716" s="11"/>
      <c r="C716" s="11"/>
      <c r="D716" s="11"/>
      <c r="E716" s="11"/>
      <c r="F716" s="11"/>
      <c r="G716" s="11"/>
      <c r="H716" s="11"/>
      <c r="I716" s="11"/>
      <c r="J716" s="249"/>
      <c r="K716" s="72"/>
      <c r="L716" s="73"/>
      <c r="M716" s="73"/>
      <c r="N716" s="74"/>
      <c r="O716" s="75"/>
      <c r="P716" s="73"/>
      <c r="Q716" s="76"/>
      <c r="R716" s="76"/>
      <c r="S716" s="76"/>
      <c r="T716" s="76"/>
      <c r="U716" s="76"/>
      <c r="V716" s="76"/>
      <c r="W716" s="76"/>
      <c r="X716" s="76"/>
      <c r="Y716" s="76"/>
      <c r="Z716" s="77"/>
      <c r="AA716" s="77"/>
      <c r="AB716" s="77"/>
      <c r="AC716" s="77"/>
      <c r="AD716" s="77"/>
      <c r="AE716" s="77"/>
      <c r="AF716" s="77"/>
      <c r="AG716" s="77"/>
      <c r="AH716" s="78"/>
      <c r="AI716" s="78"/>
      <c r="AJ716" s="78"/>
      <c r="AK716" s="78"/>
      <c r="AL716" s="78"/>
      <c r="AM716" s="78"/>
      <c r="AN716" s="76"/>
      <c r="AO716" s="76"/>
      <c r="AP716" s="76"/>
      <c r="AQ716" s="76"/>
      <c r="AR716" s="76"/>
      <c r="AS716" s="76"/>
      <c r="AT716" s="76"/>
      <c r="AU716" s="76"/>
      <c r="AV716" s="76"/>
      <c r="AW716" s="79"/>
      <c r="AX716" s="79"/>
      <c r="AY716" s="79"/>
      <c r="AZ716" s="79"/>
      <c r="BA716" s="79"/>
      <c r="BB716" s="11"/>
      <c r="BC716" s="11"/>
      <c r="BD716" s="11"/>
      <c r="BE716" s="73"/>
      <c r="BF716" s="73"/>
      <c r="BG716" s="73"/>
      <c r="BH716" s="77"/>
      <c r="BI716" s="77"/>
      <c r="BJ716" s="77"/>
      <c r="BK716" s="77"/>
      <c r="BL716" s="77"/>
      <c r="BM716" s="77"/>
      <c r="BN716" s="158"/>
      <c r="BO716" s="158"/>
    </row>
    <row r="717" spans="1:67" ht="15" x14ac:dyDescent="0.25">
      <c r="A717" s="71"/>
      <c r="B717" s="11"/>
      <c r="C717" s="11"/>
      <c r="D717" s="11"/>
      <c r="E717" s="11"/>
      <c r="F717" s="11"/>
      <c r="G717" s="11"/>
      <c r="H717" s="11"/>
      <c r="I717" s="11"/>
      <c r="J717" s="249"/>
      <c r="K717" s="72"/>
      <c r="L717" s="73"/>
      <c r="M717" s="73"/>
      <c r="N717" s="74"/>
      <c r="O717" s="75"/>
      <c r="P717" s="73"/>
      <c r="Q717" s="76"/>
      <c r="R717" s="76"/>
      <c r="S717" s="76"/>
      <c r="T717" s="76"/>
      <c r="U717" s="76"/>
      <c r="V717" s="76"/>
      <c r="W717" s="76"/>
      <c r="X717" s="76"/>
      <c r="Y717" s="76"/>
      <c r="Z717" s="77"/>
      <c r="AA717" s="77"/>
      <c r="AB717" s="77"/>
      <c r="AC717" s="77"/>
      <c r="AD717" s="77"/>
      <c r="AE717" s="77"/>
      <c r="AF717" s="77"/>
      <c r="AG717" s="77"/>
      <c r="AH717" s="78"/>
      <c r="AI717" s="78"/>
      <c r="AJ717" s="78"/>
      <c r="AK717" s="78"/>
      <c r="AL717" s="78"/>
      <c r="AM717" s="78"/>
      <c r="AN717" s="76"/>
      <c r="AO717" s="76"/>
      <c r="AP717" s="76"/>
      <c r="AQ717" s="76"/>
      <c r="AR717" s="76"/>
      <c r="AS717" s="76"/>
      <c r="AT717" s="76"/>
      <c r="AU717" s="76"/>
      <c r="AV717" s="76"/>
      <c r="AW717" s="79"/>
      <c r="AX717" s="79"/>
      <c r="AY717" s="79"/>
      <c r="AZ717" s="79"/>
      <c r="BA717" s="79"/>
      <c r="BB717" s="11"/>
      <c r="BC717" s="11"/>
      <c r="BD717" s="11"/>
      <c r="BE717" s="73"/>
      <c r="BF717" s="73"/>
      <c r="BG717" s="73"/>
      <c r="BH717" s="77"/>
      <c r="BI717" s="77"/>
      <c r="BJ717" s="77"/>
      <c r="BK717" s="77"/>
      <c r="BL717" s="77"/>
      <c r="BM717" s="77"/>
      <c r="BN717" s="158"/>
      <c r="BO717" s="158"/>
    </row>
    <row r="718" spans="1:67" ht="15" x14ac:dyDescent="0.25">
      <c r="A718" s="71"/>
      <c r="B718" s="11"/>
      <c r="C718" s="11"/>
      <c r="D718" s="11"/>
      <c r="E718" s="11"/>
      <c r="F718" s="11"/>
      <c r="G718" s="11"/>
      <c r="H718" s="11"/>
      <c r="I718" s="11"/>
      <c r="J718" s="249"/>
      <c r="K718" s="72"/>
      <c r="L718" s="73"/>
      <c r="M718" s="73"/>
      <c r="N718" s="74"/>
      <c r="O718" s="75"/>
      <c r="P718" s="73"/>
      <c r="Q718" s="76"/>
      <c r="R718" s="76"/>
      <c r="S718" s="76"/>
      <c r="T718" s="76"/>
      <c r="U718" s="76"/>
      <c r="V718" s="76"/>
      <c r="W718" s="76"/>
      <c r="X718" s="76"/>
      <c r="Y718" s="76"/>
      <c r="Z718" s="77"/>
      <c r="AA718" s="77"/>
      <c r="AB718" s="77"/>
      <c r="AC718" s="77"/>
      <c r="AD718" s="77"/>
      <c r="AE718" s="77"/>
      <c r="AF718" s="77"/>
      <c r="AG718" s="77"/>
      <c r="AH718" s="78"/>
      <c r="AI718" s="78"/>
      <c r="AJ718" s="78"/>
      <c r="AK718" s="78"/>
      <c r="AL718" s="78"/>
      <c r="AM718" s="78"/>
      <c r="AN718" s="76"/>
      <c r="AO718" s="76"/>
      <c r="AP718" s="76"/>
      <c r="AQ718" s="76"/>
      <c r="AR718" s="76"/>
      <c r="AS718" s="76"/>
      <c r="AT718" s="76"/>
      <c r="AU718" s="76"/>
      <c r="AV718" s="76"/>
      <c r="AW718" s="79"/>
      <c r="AX718" s="79"/>
      <c r="AY718" s="79"/>
      <c r="AZ718" s="79"/>
      <c r="BA718" s="79"/>
      <c r="BB718" s="11"/>
      <c r="BC718" s="11"/>
      <c r="BD718" s="11"/>
      <c r="BE718" s="73"/>
      <c r="BF718" s="73"/>
      <c r="BG718" s="73"/>
      <c r="BH718" s="77"/>
      <c r="BI718" s="77"/>
      <c r="BJ718" s="77"/>
      <c r="BK718" s="77"/>
      <c r="BL718" s="77"/>
      <c r="BM718" s="77"/>
      <c r="BN718" s="158"/>
      <c r="BO718" s="158"/>
    </row>
    <row r="719" spans="1:67" ht="15" x14ac:dyDescent="0.25">
      <c r="A719" s="71"/>
      <c r="B719" s="11"/>
      <c r="C719" s="11"/>
      <c r="D719" s="11"/>
      <c r="E719" s="11"/>
      <c r="F719" s="11"/>
      <c r="G719" s="11"/>
      <c r="H719" s="11"/>
      <c r="I719" s="11"/>
      <c r="J719" s="249"/>
      <c r="K719" s="72"/>
      <c r="L719" s="73"/>
      <c r="M719" s="73"/>
      <c r="N719" s="74"/>
      <c r="O719" s="75"/>
      <c r="P719" s="73"/>
      <c r="Q719" s="76"/>
      <c r="R719" s="76"/>
      <c r="S719" s="76"/>
      <c r="T719" s="76"/>
      <c r="U719" s="76"/>
      <c r="V719" s="76"/>
      <c r="W719" s="76"/>
      <c r="X719" s="76"/>
      <c r="Y719" s="76"/>
      <c r="Z719" s="77"/>
      <c r="AA719" s="77"/>
      <c r="AB719" s="77"/>
      <c r="AC719" s="77"/>
      <c r="AD719" s="77"/>
      <c r="AE719" s="77"/>
      <c r="AF719" s="77"/>
      <c r="AG719" s="77"/>
      <c r="AH719" s="78"/>
      <c r="AI719" s="78"/>
      <c r="AJ719" s="78"/>
      <c r="AK719" s="78"/>
      <c r="AL719" s="78"/>
      <c r="AM719" s="78"/>
      <c r="AN719" s="76"/>
      <c r="AO719" s="76"/>
      <c r="AP719" s="76"/>
      <c r="AQ719" s="76"/>
      <c r="AR719" s="76"/>
      <c r="AS719" s="76"/>
      <c r="AT719" s="76"/>
      <c r="AU719" s="76"/>
      <c r="AV719" s="76"/>
      <c r="AW719" s="79"/>
      <c r="AX719" s="79"/>
      <c r="AY719" s="79"/>
      <c r="AZ719" s="79"/>
      <c r="BA719" s="79"/>
      <c r="BB719" s="11"/>
      <c r="BC719" s="11"/>
      <c r="BD719" s="11"/>
      <c r="BE719" s="73"/>
      <c r="BF719" s="73"/>
      <c r="BG719" s="73"/>
      <c r="BH719" s="77"/>
      <c r="BI719" s="77"/>
      <c r="BJ719" s="77"/>
      <c r="BK719" s="77"/>
      <c r="BL719" s="77"/>
      <c r="BM719" s="77"/>
      <c r="BN719" s="158"/>
      <c r="BO719" s="158"/>
    </row>
    <row r="720" spans="1:67" ht="15" x14ac:dyDescent="0.25">
      <c r="A720" s="71"/>
      <c r="B720" s="11"/>
      <c r="C720" s="11"/>
      <c r="D720" s="11"/>
      <c r="E720" s="11"/>
      <c r="F720" s="11"/>
      <c r="G720" s="11"/>
      <c r="H720" s="11"/>
      <c r="I720" s="11"/>
      <c r="J720" s="249"/>
      <c r="K720" s="72"/>
      <c r="L720" s="73"/>
      <c r="M720" s="73"/>
      <c r="N720" s="74"/>
      <c r="O720" s="75"/>
      <c r="P720" s="73"/>
      <c r="Q720" s="76"/>
      <c r="R720" s="76"/>
      <c r="S720" s="76"/>
      <c r="T720" s="76"/>
      <c r="U720" s="76"/>
      <c r="V720" s="76"/>
      <c r="W720" s="76"/>
      <c r="X720" s="76"/>
      <c r="Y720" s="76"/>
      <c r="Z720" s="77"/>
      <c r="AA720" s="77"/>
      <c r="AB720" s="77"/>
      <c r="AC720" s="77"/>
      <c r="AD720" s="77"/>
      <c r="AE720" s="77"/>
      <c r="AF720" s="77"/>
      <c r="AG720" s="77"/>
      <c r="AH720" s="78"/>
      <c r="AI720" s="78"/>
      <c r="AJ720" s="78"/>
      <c r="AK720" s="78"/>
      <c r="AL720" s="78"/>
      <c r="AM720" s="78"/>
      <c r="AN720" s="76"/>
      <c r="AO720" s="76"/>
      <c r="AP720" s="76"/>
      <c r="AQ720" s="76"/>
      <c r="AR720" s="76"/>
      <c r="AS720" s="76"/>
      <c r="AT720" s="76"/>
      <c r="AU720" s="76"/>
      <c r="AV720" s="76"/>
      <c r="AW720" s="79"/>
      <c r="AX720" s="79"/>
      <c r="AY720" s="79"/>
      <c r="AZ720" s="79"/>
      <c r="BA720" s="79"/>
      <c r="BB720" s="11"/>
      <c r="BC720" s="11"/>
      <c r="BD720" s="11"/>
      <c r="BE720" s="73"/>
      <c r="BF720" s="73"/>
      <c r="BG720" s="73"/>
      <c r="BH720" s="77"/>
      <c r="BI720" s="77"/>
      <c r="BJ720" s="77"/>
      <c r="BK720" s="77"/>
      <c r="BL720" s="77"/>
      <c r="BM720" s="77"/>
      <c r="BN720" s="158"/>
      <c r="BO720" s="158"/>
    </row>
    <row r="721" spans="1:67" ht="15" x14ac:dyDescent="0.25">
      <c r="A721" s="71"/>
      <c r="B721" s="11"/>
      <c r="C721" s="11"/>
      <c r="D721" s="11"/>
      <c r="E721" s="11"/>
      <c r="F721" s="11"/>
      <c r="G721" s="11"/>
      <c r="H721" s="11"/>
      <c r="I721" s="11"/>
      <c r="J721" s="249"/>
      <c r="K721" s="72"/>
      <c r="L721" s="73"/>
      <c r="M721" s="73"/>
      <c r="N721" s="74"/>
      <c r="O721" s="75"/>
      <c r="P721" s="73"/>
      <c r="Q721" s="76"/>
      <c r="R721" s="76"/>
      <c r="S721" s="76"/>
      <c r="T721" s="76"/>
      <c r="U721" s="76"/>
      <c r="V721" s="76"/>
      <c r="W721" s="76"/>
      <c r="X721" s="76"/>
      <c r="Y721" s="76"/>
      <c r="Z721" s="77"/>
      <c r="AA721" s="77"/>
      <c r="AB721" s="77"/>
      <c r="AC721" s="77"/>
      <c r="AD721" s="77"/>
      <c r="AE721" s="77"/>
      <c r="AF721" s="77"/>
      <c r="AG721" s="77"/>
      <c r="AH721" s="78"/>
      <c r="AI721" s="78"/>
      <c r="AJ721" s="78"/>
      <c r="AK721" s="78"/>
      <c r="AL721" s="78"/>
      <c r="AM721" s="78"/>
      <c r="AN721" s="76"/>
      <c r="AO721" s="76"/>
      <c r="AP721" s="76"/>
      <c r="AQ721" s="76"/>
      <c r="AR721" s="76"/>
      <c r="AS721" s="76"/>
      <c r="AT721" s="76"/>
      <c r="AU721" s="76"/>
      <c r="AV721" s="76"/>
      <c r="AW721" s="79"/>
      <c r="AX721" s="79"/>
      <c r="AY721" s="79"/>
      <c r="AZ721" s="79"/>
      <c r="BA721" s="79"/>
      <c r="BB721" s="11"/>
      <c r="BC721" s="11"/>
      <c r="BD721" s="11"/>
      <c r="BE721" s="73"/>
      <c r="BF721" s="73"/>
      <c r="BG721" s="73"/>
      <c r="BH721" s="77"/>
      <c r="BI721" s="77"/>
      <c r="BJ721" s="77"/>
      <c r="BK721" s="77"/>
      <c r="BL721" s="77"/>
      <c r="BM721" s="77"/>
      <c r="BN721" s="158"/>
      <c r="BO721" s="158"/>
    </row>
    <row r="722" spans="1:67" ht="15" x14ac:dyDescent="0.25">
      <c r="A722" s="71"/>
      <c r="B722" s="11"/>
      <c r="C722" s="11"/>
      <c r="D722" s="11"/>
      <c r="E722" s="11"/>
      <c r="F722" s="11"/>
      <c r="G722" s="11"/>
      <c r="H722" s="11"/>
      <c r="I722" s="11"/>
      <c r="J722" s="249"/>
      <c r="K722" s="72"/>
      <c r="L722" s="73"/>
      <c r="M722" s="73"/>
      <c r="N722" s="74"/>
      <c r="O722" s="75"/>
      <c r="P722" s="73"/>
      <c r="Q722" s="76"/>
      <c r="R722" s="76"/>
      <c r="S722" s="76"/>
      <c r="T722" s="76"/>
      <c r="U722" s="76"/>
      <c r="V722" s="76"/>
      <c r="W722" s="76"/>
      <c r="X722" s="76"/>
      <c r="Y722" s="76"/>
      <c r="Z722" s="77"/>
      <c r="AA722" s="77"/>
      <c r="AB722" s="77"/>
      <c r="AC722" s="77"/>
      <c r="AD722" s="77"/>
      <c r="AE722" s="77"/>
      <c r="AF722" s="77"/>
      <c r="AG722" s="77"/>
      <c r="AH722" s="78"/>
      <c r="AI722" s="78"/>
      <c r="AJ722" s="78"/>
      <c r="AK722" s="78"/>
      <c r="AL722" s="78"/>
      <c r="AM722" s="78"/>
      <c r="AN722" s="76"/>
      <c r="AO722" s="76"/>
      <c r="AP722" s="76"/>
      <c r="AQ722" s="76"/>
      <c r="AR722" s="76"/>
      <c r="AS722" s="76"/>
      <c r="AT722" s="76"/>
      <c r="AU722" s="76"/>
      <c r="AV722" s="76"/>
      <c r="AW722" s="79"/>
      <c r="AX722" s="79"/>
      <c r="AY722" s="79"/>
      <c r="AZ722" s="79"/>
      <c r="BA722" s="79"/>
      <c r="BB722" s="11"/>
      <c r="BC722" s="11"/>
      <c r="BD722" s="11"/>
      <c r="BE722" s="73"/>
      <c r="BF722" s="73"/>
      <c r="BG722" s="73"/>
      <c r="BH722" s="77"/>
      <c r="BI722" s="77"/>
      <c r="BJ722" s="77"/>
      <c r="BK722" s="77"/>
      <c r="BL722" s="77"/>
      <c r="BM722" s="77"/>
      <c r="BN722" s="158"/>
      <c r="BO722" s="158"/>
    </row>
    <row r="723" spans="1:67" ht="15" x14ac:dyDescent="0.25">
      <c r="A723" s="71"/>
      <c r="B723" s="11"/>
      <c r="C723" s="11"/>
      <c r="D723" s="11"/>
      <c r="E723" s="11"/>
      <c r="F723" s="11"/>
      <c r="G723" s="11"/>
      <c r="H723" s="11"/>
      <c r="I723" s="11"/>
      <c r="J723" s="249"/>
      <c r="K723" s="72"/>
      <c r="L723" s="73"/>
      <c r="M723" s="73"/>
      <c r="N723" s="74"/>
      <c r="O723" s="75"/>
      <c r="P723" s="73"/>
      <c r="Q723" s="76"/>
      <c r="R723" s="76"/>
      <c r="S723" s="76"/>
      <c r="T723" s="76"/>
      <c r="U723" s="76"/>
      <c r="V723" s="76"/>
      <c r="W723" s="76"/>
      <c r="X723" s="76"/>
      <c r="Y723" s="76"/>
      <c r="Z723" s="77"/>
      <c r="AA723" s="77"/>
      <c r="AB723" s="77"/>
      <c r="AC723" s="77"/>
      <c r="AD723" s="77"/>
      <c r="AE723" s="77"/>
      <c r="AF723" s="77"/>
      <c r="AG723" s="77"/>
      <c r="AH723" s="78"/>
      <c r="AI723" s="78"/>
      <c r="AJ723" s="78"/>
      <c r="AK723" s="78"/>
      <c r="AL723" s="78"/>
      <c r="AM723" s="78"/>
      <c r="AN723" s="76"/>
      <c r="AO723" s="76"/>
      <c r="AP723" s="76"/>
      <c r="AQ723" s="76"/>
      <c r="AR723" s="76"/>
      <c r="AS723" s="76"/>
      <c r="AT723" s="76"/>
      <c r="AU723" s="76"/>
      <c r="AV723" s="76"/>
      <c r="AW723" s="79"/>
      <c r="AX723" s="79"/>
      <c r="AY723" s="79"/>
      <c r="AZ723" s="79"/>
      <c r="BA723" s="79"/>
      <c r="BB723" s="11"/>
      <c r="BC723" s="11"/>
      <c r="BD723" s="11"/>
      <c r="BE723" s="73"/>
      <c r="BF723" s="73"/>
      <c r="BG723" s="73"/>
      <c r="BH723" s="77"/>
      <c r="BI723" s="77"/>
      <c r="BJ723" s="77"/>
      <c r="BK723" s="77"/>
      <c r="BL723" s="77"/>
      <c r="BM723" s="77"/>
      <c r="BN723" s="158"/>
      <c r="BO723" s="158"/>
    </row>
    <row r="724" spans="1:67" ht="15" x14ac:dyDescent="0.25">
      <c r="A724" s="71"/>
      <c r="B724" s="11"/>
      <c r="C724" s="11"/>
      <c r="D724" s="11"/>
      <c r="E724" s="11"/>
      <c r="F724" s="11"/>
      <c r="G724" s="11"/>
      <c r="H724" s="11"/>
      <c r="I724" s="11"/>
      <c r="J724" s="249"/>
      <c r="K724" s="72"/>
      <c r="L724" s="73"/>
      <c r="M724" s="73"/>
      <c r="N724" s="74"/>
      <c r="O724" s="75"/>
      <c r="P724" s="73"/>
      <c r="Q724" s="76"/>
      <c r="R724" s="76"/>
      <c r="S724" s="76"/>
      <c r="T724" s="76"/>
      <c r="U724" s="76"/>
      <c r="V724" s="76"/>
      <c r="W724" s="76"/>
      <c r="X724" s="76"/>
      <c r="Y724" s="76"/>
      <c r="Z724" s="77"/>
      <c r="AA724" s="77"/>
      <c r="AB724" s="77"/>
      <c r="AC724" s="77"/>
      <c r="AD724" s="77"/>
      <c r="AE724" s="77"/>
      <c r="AF724" s="77"/>
      <c r="AG724" s="77"/>
      <c r="AH724" s="78"/>
      <c r="AI724" s="78"/>
      <c r="AJ724" s="78"/>
      <c r="AK724" s="78"/>
      <c r="AL724" s="78"/>
      <c r="AM724" s="78"/>
      <c r="AN724" s="76"/>
      <c r="AO724" s="76"/>
      <c r="AP724" s="76"/>
      <c r="AQ724" s="76"/>
      <c r="AR724" s="76"/>
      <c r="AS724" s="76"/>
      <c r="AT724" s="76"/>
      <c r="AU724" s="76"/>
      <c r="AV724" s="76"/>
      <c r="AW724" s="79"/>
      <c r="AX724" s="79"/>
      <c r="AY724" s="79"/>
      <c r="AZ724" s="79"/>
      <c r="BA724" s="79"/>
      <c r="BB724" s="11"/>
      <c r="BC724" s="11"/>
      <c r="BD724" s="11"/>
      <c r="BE724" s="73"/>
      <c r="BF724" s="73"/>
      <c r="BG724" s="73"/>
      <c r="BH724" s="77"/>
      <c r="BI724" s="77"/>
      <c r="BJ724" s="77"/>
      <c r="BK724" s="77"/>
      <c r="BL724" s="77"/>
      <c r="BM724" s="77"/>
      <c r="BN724" s="158"/>
      <c r="BO724" s="158"/>
    </row>
    <row r="725" spans="1:67" ht="15" x14ac:dyDescent="0.25">
      <c r="A725" s="71"/>
      <c r="B725" s="11"/>
      <c r="C725" s="11"/>
      <c r="D725" s="11"/>
      <c r="E725" s="11"/>
      <c r="F725" s="11"/>
      <c r="G725" s="11"/>
      <c r="H725" s="11"/>
      <c r="I725" s="11"/>
      <c r="J725" s="249"/>
      <c r="K725" s="72"/>
      <c r="L725" s="73"/>
      <c r="M725" s="73"/>
      <c r="N725" s="74"/>
      <c r="O725" s="75"/>
      <c r="P725" s="73"/>
      <c r="Q725" s="76"/>
      <c r="R725" s="76"/>
      <c r="S725" s="76"/>
      <c r="T725" s="76"/>
      <c r="U725" s="76"/>
      <c r="V725" s="76"/>
      <c r="W725" s="76"/>
      <c r="X725" s="76"/>
      <c r="Y725" s="76"/>
      <c r="Z725" s="77"/>
      <c r="AA725" s="77"/>
      <c r="AB725" s="77"/>
      <c r="AC725" s="77"/>
      <c r="AD725" s="77"/>
      <c r="AE725" s="77"/>
      <c r="AF725" s="77"/>
      <c r="AG725" s="77"/>
      <c r="AH725" s="78"/>
      <c r="AI725" s="78"/>
      <c r="AJ725" s="78"/>
      <c r="AK725" s="78"/>
      <c r="AL725" s="78"/>
      <c r="AM725" s="78"/>
      <c r="AN725" s="76"/>
      <c r="AO725" s="76"/>
      <c r="AP725" s="76"/>
      <c r="AQ725" s="76"/>
      <c r="AR725" s="76"/>
      <c r="AS725" s="76"/>
      <c r="AT725" s="76"/>
      <c r="AU725" s="76"/>
      <c r="AV725" s="76"/>
      <c r="AW725" s="79"/>
      <c r="AX725" s="79"/>
      <c r="AY725" s="79"/>
      <c r="AZ725" s="79"/>
      <c r="BA725" s="79"/>
      <c r="BB725" s="11"/>
      <c r="BC725" s="11"/>
      <c r="BD725" s="11"/>
      <c r="BE725" s="73"/>
      <c r="BF725" s="73"/>
      <c r="BG725" s="73"/>
      <c r="BH725" s="77"/>
      <c r="BI725" s="77"/>
      <c r="BJ725" s="77"/>
      <c r="BK725" s="77"/>
      <c r="BL725" s="77"/>
      <c r="BM725" s="77"/>
      <c r="BN725" s="158"/>
      <c r="BO725" s="158"/>
    </row>
    <row r="726" spans="1:67" ht="15" x14ac:dyDescent="0.25">
      <c r="A726" s="71"/>
      <c r="B726" s="11"/>
      <c r="C726" s="11"/>
      <c r="D726" s="11"/>
      <c r="E726" s="11"/>
      <c r="F726" s="11"/>
      <c r="G726" s="11"/>
      <c r="H726" s="11"/>
      <c r="I726" s="11"/>
      <c r="J726" s="249"/>
      <c r="K726" s="72"/>
      <c r="L726" s="73"/>
      <c r="M726" s="73"/>
      <c r="N726" s="74"/>
      <c r="O726" s="75"/>
      <c r="P726" s="73"/>
      <c r="Q726" s="76"/>
      <c r="R726" s="76"/>
      <c r="S726" s="76"/>
      <c r="T726" s="76"/>
      <c r="U726" s="76"/>
      <c r="V726" s="76"/>
      <c r="W726" s="76"/>
      <c r="X726" s="76"/>
      <c r="Y726" s="76"/>
      <c r="Z726" s="77"/>
      <c r="AA726" s="77"/>
      <c r="AB726" s="77"/>
      <c r="AC726" s="77"/>
      <c r="AD726" s="77"/>
      <c r="AE726" s="77"/>
      <c r="AF726" s="77"/>
      <c r="AG726" s="77"/>
      <c r="AH726" s="78"/>
      <c r="AI726" s="78"/>
      <c r="AJ726" s="78"/>
      <c r="AK726" s="78"/>
      <c r="AL726" s="78"/>
      <c r="AM726" s="78"/>
      <c r="AN726" s="76"/>
      <c r="AO726" s="76"/>
      <c r="AP726" s="76"/>
      <c r="AQ726" s="76"/>
      <c r="AR726" s="76"/>
      <c r="AS726" s="76"/>
      <c r="AT726" s="76"/>
      <c r="AU726" s="76"/>
      <c r="AV726" s="76"/>
      <c r="AW726" s="79"/>
      <c r="AX726" s="79"/>
      <c r="AY726" s="79"/>
      <c r="AZ726" s="79"/>
      <c r="BA726" s="79"/>
      <c r="BB726" s="11"/>
      <c r="BC726" s="11"/>
      <c r="BD726" s="11"/>
      <c r="BE726" s="73"/>
      <c r="BF726" s="73"/>
      <c r="BG726" s="73"/>
      <c r="BH726" s="77"/>
      <c r="BI726" s="77"/>
      <c r="BJ726" s="77"/>
      <c r="BK726" s="77"/>
      <c r="BL726" s="77"/>
      <c r="BM726" s="77"/>
      <c r="BN726" s="158"/>
      <c r="BO726" s="158"/>
    </row>
    <row r="727" spans="1:67" ht="15" x14ac:dyDescent="0.25">
      <c r="A727" s="71"/>
      <c r="B727" s="11"/>
      <c r="C727" s="11"/>
      <c r="D727" s="11"/>
      <c r="E727" s="11"/>
      <c r="F727" s="11"/>
      <c r="G727" s="11"/>
      <c r="H727" s="11"/>
      <c r="I727" s="11"/>
      <c r="J727" s="249"/>
      <c r="K727" s="72"/>
      <c r="L727" s="73"/>
      <c r="M727" s="73"/>
      <c r="N727" s="74"/>
      <c r="O727" s="75"/>
      <c r="P727" s="73"/>
      <c r="Q727" s="76"/>
      <c r="R727" s="76"/>
      <c r="S727" s="76"/>
      <c r="T727" s="76"/>
      <c r="U727" s="76"/>
      <c r="V727" s="76"/>
      <c r="W727" s="76"/>
      <c r="X727" s="76"/>
      <c r="Y727" s="76"/>
      <c r="Z727" s="77"/>
      <c r="AA727" s="77"/>
      <c r="AB727" s="77"/>
      <c r="AC727" s="77"/>
      <c r="AD727" s="77"/>
      <c r="AE727" s="77"/>
      <c r="AF727" s="77"/>
      <c r="AG727" s="77"/>
      <c r="AH727" s="78"/>
      <c r="AI727" s="78"/>
      <c r="AJ727" s="78"/>
      <c r="AK727" s="78"/>
      <c r="AL727" s="78"/>
      <c r="AM727" s="78"/>
      <c r="AN727" s="76"/>
      <c r="AO727" s="76"/>
      <c r="AP727" s="76"/>
      <c r="AQ727" s="76"/>
      <c r="AR727" s="76"/>
      <c r="AS727" s="76"/>
      <c r="AT727" s="76"/>
      <c r="AU727" s="76"/>
      <c r="AV727" s="76"/>
      <c r="AW727" s="79"/>
      <c r="AX727" s="79"/>
      <c r="AY727" s="79"/>
      <c r="AZ727" s="79"/>
      <c r="BA727" s="79"/>
      <c r="BB727" s="11"/>
      <c r="BC727" s="11"/>
      <c r="BD727" s="11"/>
      <c r="BE727" s="73"/>
      <c r="BF727" s="73"/>
      <c r="BG727" s="73"/>
      <c r="BH727" s="77"/>
      <c r="BI727" s="77"/>
      <c r="BJ727" s="77"/>
      <c r="BK727" s="77"/>
      <c r="BL727" s="77"/>
      <c r="BM727" s="77"/>
      <c r="BN727" s="158"/>
      <c r="BO727" s="158"/>
    </row>
    <row r="728" spans="1:67" ht="15" x14ac:dyDescent="0.25">
      <c r="A728" s="71"/>
      <c r="B728" s="11"/>
      <c r="C728" s="11"/>
      <c r="D728" s="11"/>
      <c r="E728" s="11"/>
      <c r="F728" s="11"/>
      <c r="G728" s="11"/>
      <c r="H728" s="11"/>
      <c r="I728" s="11"/>
      <c r="J728" s="249"/>
      <c r="K728" s="72"/>
      <c r="L728" s="73"/>
      <c r="M728" s="73"/>
      <c r="N728" s="74"/>
      <c r="O728" s="75"/>
      <c r="P728" s="73"/>
      <c r="Q728" s="76"/>
      <c r="R728" s="76"/>
      <c r="S728" s="76"/>
      <c r="T728" s="76"/>
      <c r="U728" s="76"/>
      <c r="V728" s="76"/>
      <c r="W728" s="76"/>
      <c r="X728" s="76"/>
      <c r="Y728" s="76"/>
      <c r="Z728" s="77"/>
      <c r="AA728" s="77"/>
      <c r="AB728" s="77"/>
      <c r="AC728" s="77"/>
      <c r="AD728" s="77"/>
      <c r="AE728" s="77"/>
      <c r="AF728" s="77"/>
      <c r="AG728" s="77"/>
      <c r="AH728" s="78"/>
      <c r="AI728" s="78"/>
      <c r="AJ728" s="78"/>
      <c r="AK728" s="78"/>
      <c r="AL728" s="78"/>
      <c r="AM728" s="78"/>
      <c r="AN728" s="76"/>
      <c r="AO728" s="76"/>
      <c r="AP728" s="76"/>
      <c r="AQ728" s="76"/>
      <c r="AR728" s="76"/>
      <c r="AS728" s="76"/>
      <c r="AT728" s="76"/>
      <c r="AU728" s="76"/>
      <c r="AV728" s="76"/>
      <c r="AW728" s="79"/>
      <c r="AX728" s="79"/>
      <c r="AY728" s="79"/>
      <c r="AZ728" s="79"/>
      <c r="BA728" s="79"/>
      <c r="BB728" s="11"/>
      <c r="BC728" s="11"/>
      <c r="BD728" s="11"/>
      <c r="BE728" s="73"/>
      <c r="BF728" s="73"/>
      <c r="BG728" s="73"/>
      <c r="BH728" s="77"/>
      <c r="BI728" s="77"/>
      <c r="BJ728" s="77"/>
      <c r="BK728" s="77"/>
      <c r="BL728" s="77"/>
      <c r="BM728" s="77"/>
      <c r="BN728" s="158"/>
      <c r="BO728" s="158"/>
    </row>
    <row r="729" spans="1:67" ht="15" x14ac:dyDescent="0.25">
      <c r="A729" s="71"/>
      <c r="B729" s="11"/>
      <c r="C729" s="11"/>
      <c r="D729" s="11"/>
      <c r="E729" s="11"/>
      <c r="F729" s="11"/>
      <c r="G729" s="11"/>
      <c r="H729" s="11"/>
      <c r="I729" s="11"/>
      <c r="J729" s="249"/>
      <c r="K729" s="72"/>
      <c r="L729" s="73"/>
      <c r="M729" s="73"/>
      <c r="N729" s="74"/>
      <c r="O729" s="75"/>
      <c r="P729" s="73"/>
      <c r="Q729" s="76"/>
      <c r="R729" s="76"/>
      <c r="S729" s="76"/>
      <c r="T729" s="76"/>
      <c r="U729" s="76"/>
      <c r="V729" s="76"/>
      <c r="W729" s="76"/>
      <c r="X729" s="76"/>
      <c r="Y729" s="76"/>
      <c r="Z729" s="77"/>
      <c r="AA729" s="77"/>
      <c r="AB729" s="77"/>
      <c r="AC729" s="77"/>
      <c r="AD729" s="77"/>
      <c r="AE729" s="77"/>
      <c r="AF729" s="77"/>
      <c r="AG729" s="77"/>
      <c r="AH729" s="78"/>
      <c r="AI729" s="78"/>
      <c r="AJ729" s="78"/>
      <c r="AK729" s="78"/>
      <c r="AL729" s="78"/>
      <c r="AM729" s="78"/>
      <c r="AN729" s="76"/>
      <c r="AO729" s="76"/>
      <c r="AP729" s="76"/>
      <c r="AQ729" s="76"/>
      <c r="AR729" s="76"/>
      <c r="AS729" s="76"/>
      <c r="AT729" s="76"/>
      <c r="AU729" s="76"/>
      <c r="AV729" s="76"/>
      <c r="AW729" s="79"/>
      <c r="AX729" s="79"/>
      <c r="AY729" s="79"/>
      <c r="AZ729" s="79"/>
      <c r="BA729" s="79"/>
      <c r="BB729" s="11"/>
      <c r="BC729" s="11"/>
      <c r="BD729" s="11"/>
      <c r="BE729" s="73"/>
      <c r="BF729" s="73"/>
      <c r="BG729" s="73"/>
      <c r="BH729" s="77"/>
      <c r="BI729" s="77"/>
      <c r="BJ729" s="77"/>
      <c r="BK729" s="77"/>
      <c r="BL729" s="77"/>
      <c r="BM729" s="77"/>
      <c r="BN729" s="158"/>
      <c r="BO729" s="158"/>
    </row>
    <row r="730" spans="1:67" ht="15" x14ac:dyDescent="0.25">
      <c r="A730" s="71"/>
      <c r="B730" s="11"/>
      <c r="C730" s="11"/>
      <c r="D730" s="11"/>
      <c r="E730" s="11"/>
      <c r="F730" s="11"/>
      <c r="G730" s="11"/>
      <c r="H730" s="11"/>
      <c r="I730" s="11"/>
      <c r="J730" s="249"/>
      <c r="K730" s="72"/>
      <c r="L730" s="73"/>
      <c r="M730" s="73"/>
      <c r="N730" s="74"/>
      <c r="O730" s="75"/>
      <c r="P730" s="73"/>
      <c r="Q730" s="76"/>
      <c r="R730" s="76"/>
      <c r="S730" s="76"/>
      <c r="T730" s="76"/>
      <c r="U730" s="76"/>
      <c r="V730" s="76"/>
      <c r="W730" s="76"/>
      <c r="X730" s="76"/>
      <c r="Y730" s="76"/>
      <c r="Z730" s="77"/>
      <c r="AA730" s="77"/>
      <c r="AB730" s="77"/>
      <c r="AC730" s="77"/>
      <c r="AD730" s="77"/>
      <c r="AE730" s="77"/>
      <c r="AF730" s="77"/>
      <c r="AG730" s="77"/>
      <c r="AH730" s="78"/>
      <c r="AI730" s="78"/>
      <c r="AJ730" s="78"/>
      <c r="AK730" s="78"/>
      <c r="AL730" s="78"/>
      <c r="AM730" s="78"/>
      <c r="AN730" s="76"/>
      <c r="AO730" s="76"/>
      <c r="AP730" s="76"/>
      <c r="AQ730" s="76"/>
      <c r="AR730" s="76"/>
      <c r="AS730" s="76"/>
      <c r="AT730" s="76"/>
      <c r="AU730" s="76"/>
      <c r="AV730" s="76"/>
      <c r="AW730" s="79"/>
      <c r="AX730" s="79"/>
      <c r="AY730" s="79"/>
      <c r="AZ730" s="79"/>
      <c r="BA730" s="79"/>
      <c r="BB730" s="11"/>
      <c r="BC730" s="11"/>
      <c r="BD730" s="11"/>
      <c r="BE730" s="73"/>
      <c r="BF730" s="73"/>
      <c r="BG730" s="73"/>
      <c r="BH730" s="77"/>
      <c r="BI730" s="77"/>
      <c r="BJ730" s="77"/>
      <c r="BK730" s="77"/>
      <c r="BL730" s="77"/>
      <c r="BM730" s="77"/>
      <c r="BN730" s="158"/>
      <c r="BO730" s="158"/>
    </row>
    <row r="731" spans="1:67" ht="15" x14ac:dyDescent="0.25">
      <c r="A731" s="71"/>
      <c r="B731" s="11"/>
      <c r="C731" s="11"/>
      <c r="D731" s="11"/>
      <c r="E731" s="11"/>
      <c r="F731" s="11"/>
      <c r="G731" s="11"/>
      <c r="H731" s="11"/>
      <c r="I731" s="11"/>
      <c r="J731" s="249"/>
      <c r="K731" s="72"/>
      <c r="L731" s="73"/>
      <c r="M731" s="73"/>
      <c r="N731" s="74"/>
      <c r="O731" s="75"/>
      <c r="P731" s="73"/>
      <c r="Q731" s="76"/>
      <c r="R731" s="76"/>
      <c r="S731" s="76"/>
      <c r="T731" s="76"/>
      <c r="U731" s="76"/>
      <c r="V731" s="76"/>
      <c r="W731" s="76"/>
      <c r="X731" s="76"/>
      <c r="Y731" s="76"/>
      <c r="Z731" s="77"/>
      <c r="AA731" s="77"/>
      <c r="AB731" s="77"/>
      <c r="AC731" s="77"/>
      <c r="AD731" s="77"/>
      <c r="AE731" s="77"/>
      <c r="AF731" s="77"/>
      <c r="AG731" s="77"/>
      <c r="AH731" s="78"/>
      <c r="AI731" s="78"/>
      <c r="AJ731" s="78"/>
      <c r="AK731" s="78"/>
      <c r="AL731" s="78"/>
      <c r="AM731" s="78"/>
      <c r="AN731" s="76"/>
      <c r="AO731" s="76"/>
      <c r="AP731" s="76"/>
      <c r="AQ731" s="76"/>
      <c r="AR731" s="76"/>
      <c r="AS731" s="76"/>
      <c r="AT731" s="76"/>
      <c r="AU731" s="76"/>
      <c r="AV731" s="76"/>
      <c r="AW731" s="79"/>
      <c r="AX731" s="79"/>
      <c r="AY731" s="79"/>
      <c r="AZ731" s="79"/>
      <c r="BA731" s="79"/>
      <c r="BB731" s="11"/>
      <c r="BC731" s="11"/>
      <c r="BD731" s="11"/>
      <c r="BE731" s="73"/>
      <c r="BF731" s="73"/>
      <c r="BG731" s="73"/>
      <c r="BH731" s="77"/>
      <c r="BI731" s="77"/>
      <c r="BJ731" s="77"/>
      <c r="BK731" s="77"/>
      <c r="BL731" s="77"/>
      <c r="BM731" s="77"/>
      <c r="BN731" s="158"/>
      <c r="BO731" s="158"/>
    </row>
    <row r="732" spans="1:67" ht="15" x14ac:dyDescent="0.25">
      <c r="A732" s="71"/>
      <c r="B732" s="11"/>
      <c r="C732" s="11"/>
      <c r="D732" s="11"/>
      <c r="E732" s="11"/>
      <c r="F732" s="11"/>
      <c r="G732" s="11"/>
      <c r="H732" s="11"/>
      <c r="I732" s="11"/>
      <c r="J732" s="249"/>
      <c r="K732" s="72"/>
      <c r="L732" s="73"/>
      <c r="M732" s="73"/>
      <c r="N732" s="74"/>
      <c r="O732" s="75"/>
      <c r="P732" s="73"/>
      <c r="Q732" s="76"/>
      <c r="R732" s="76"/>
      <c r="S732" s="76"/>
      <c r="T732" s="76"/>
      <c r="U732" s="76"/>
      <c r="V732" s="76"/>
      <c r="W732" s="76"/>
      <c r="X732" s="76"/>
      <c r="Y732" s="76"/>
      <c r="Z732" s="77"/>
      <c r="AA732" s="77"/>
      <c r="AB732" s="77"/>
      <c r="AC732" s="77"/>
      <c r="AD732" s="77"/>
      <c r="AE732" s="77"/>
      <c r="AF732" s="77"/>
      <c r="AG732" s="77"/>
      <c r="AH732" s="78"/>
      <c r="AI732" s="78"/>
      <c r="AJ732" s="78"/>
      <c r="AK732" s="78"/>
      <c r="AL732" s="78"/>
      <c r="AM732" s="78"/>
      <c r="AN732" s="76"/>
      <c r="AO732" s="76"/>
      <c r="AP732" s="76"/>
      <c r="AQ732" s="76"/>
      <c r="AR732" s="76"/>
      <c r="AS732" s="76"/>
      <c r="AT732" s="76"/>
      <c r="AU732" s="76"/>
      <c r="AV732" s="76"/>
      <c r="AW732" s="79"/>
      <c r="AX732" s="79"/>
      <c r="AY732" s="79"/>
      <c r="AZ732" s="79"/>
      <c r="BA732" s="79"/>
      <c r="BB732" s="11"/>
      <c r="BC732" s="11"/>
      <c r="BD732" s="11"/>
      <c r="BE732" s="73"/>
      <c r="BF732" s="73"/>
      <c r="BG732" s="73"/>
      <c r="BH732" s="77"/>
      <c r="BI732" s="77"/>
      <c r="BJ732" s="77"/>
      <c r="BK732" s="77"/>
      <c r="BL732" s="77"/>
      <c r="BM732" s="77"/>
      <c r="BN732" s="158"/>
      <c r="BO732" s="158"/>
    </row>
    <row r="733" spans="1:67" ht="15" x14ac:dyDescent="0.25">
      <c r="A733" s="71"/>
      <c r="B733" s="11"/>
      <c r="C733" s="11"/>
      <c r="D733" s="11"/>
      <c r="E733" s="11"/>
      <c r="F733" s="11"/>
      <c r="G733" s="11"/>
      <c r="H733" s="11"/>
      <c r="I733" s="11"/>
      <c r="J733" s="249"/>
      <c r="K733" s="72"/>
      <c r="L733" s="73"/>
      <c r="M733" s="73"/>
      <c r="N733" s="74"/>
      <c r="O733" s="75"/>
      <c r="P733" s="73"/>
      <c r="Q733" s="76"/>
      <c r="R733" s="76"/>
      <c r="S733" s="76"/>
      <c r="T733" s="76"/>
      <c r="U733" s="76"/>
      <c r="V733" s="76"/>
      <c r="W733" s="76"/>
      <c r="X733" s="76"/>
      <c r="Y733" s="76"/>
      <c r="Z733" s="77"/>
      <c r="AA733" s="77"/>
      <c r="AB733" s="77"/>
      <c r="AC733" s="77"/>
      <c r="AD733" s="77"/>
      <c r="AE733" s="77"/>
      <c r="AF733" s="77"/>
      <c r="AG733" s="77"/>
      <c r="AH733" s="78"/>
      <c r="AI733" s="78"/>
      <c r="AJ733" s="78"/>
      <c r="AK733" s="78"/>
      <c r="AL733" s="78"/>
      <c r="AM733" s="78"/>
      <c r="AN733" s="76"/>
      <c r="AO733" s="76"/>
      <c r="AP733" s="76"/>
      <c r="AQ733" s="76"/>
      <c r="AR733" s="76"/>
      <c r="AS733" s="76"/>
      <c r="AT733" s="76"/>
      <c r="AU733" s="76"/>
      <c r="AV733" s="76"/>
      <c r="AW733" s="79"/>
      <c r="AX733" s="79"/>
      <c r="AY733" s="79"/>
      <c r="AZ733" s="79"/>
      <c r="BA733" s="79"/>
      <c r="BB733" s="11"/>
      <c r="BC733" s="11"/>
      <c r="BD733" s="11"/>
      <c r="BE733" s="73"/>
      <c r="BF733" s="73"/>
      <c r="BG733" s="73"/>
      <c r="BH733" s="77"/>
      <c r="BI733" s="77"/>
      <c r="BJ733" s="77"/>
      <c r="BK733" s="77"/>
      <c r="BL733" s="77"/>
      <c r="BM733" s="77"/>
      <c r="BN733" s="158"/>
      <c r="BO733" s="158"/>
    </row>
    <row r="734" spans="1:67" ht="15" x14ac:dyDescent="0.25">
      <c r="A734" s="71"/>
      <c r="B734" s="11"/>
      <c r="C734" s="11"/>
      <c r="D734" s="11"/>
      <c r="E734" s="11"/>
      <c r="F734" s="11"/>
      <c r="G734" s="11"/>
      <c r="H734" s="11"/>
      <c r="I734" s="11"/>
      <c r="J734" s="249"/>
      <c r="K734" s="72"/>
      <c r="L734" s="73"/>
      <c r="M734" s="73"/>
      <c r="N734" s="74"/>
      <c r="O734" s="75"/>
      <c r="P734" s="73"/>
      <c r="Q734" s="76"/>
      <c r="R734" s="76"/>
      <c r="S734" s="76"/>
      <c r="T734" s="76"/>
      <c r="U734" s="76"/>
      <c r="V734" s="76"/>
      <c r="W734" s="76"/>
      <c r="X734" s="76"/>
      <c r="Y734" s="76"/>
      <c r="Z734" s="77"/>
      <c r="AA734" s="77"/>
      <c r="AB734" s="77"/>
      <c r="AC734" s="77"/>
      <c r="AD734" s="77"/>
      <c r="AE734" s="77"/>
      <c r="AF734" s="77"/>
      <c r="AG734" s="77"/>
      <c r="AH734" s="78"/>
      <c r="AI734" s="78"/>
      <c r="AJ734" s="78"/>
      <c r="AK734" s="78"/>
      <c r="AL734" s="78"/>
      <c r="AM734" s="78"/>
      <c r="AN734" s="76"/>
      <c r="AO734" s="76"/>
      <c r="AP734" s="76"/>
      <c r="AQ734" s="76"/>
      <c r="AR734" s="76"/>
      <c r="AS734" s="76"/>
      <c r="AT734" s="76"/>
      <c r="AU734" s="76"/>
      <c r="AV734" s="76"/>
      <c r="AW734" s="79"/>
      <c r="AX734" s="79"/>
      <c r="AY734" s="79"/>
      <c r="AZ734" s="79"/>
      <c r="BA734" s="79"/>
      <c r="BB734" s="11"/>
      <c r="BC734" s="11"/>
      <c r="BD734" s="11"/>
      <c r="BE734" s="73"/>
      <c r="BF734" s="73"/>
      <c r="BG734" s="73"/>
      <c r="BH734" s="77"/>
      <c r="BI734" s="77"/>
      <c r="BJ734" s="77"/>
      <c r="BK734" s="77"/>
      <c r="BL734" s="77"/>
      <c r="BM734" s="77"/>
      <c r="BN734" s="158"/>
      <c r="BO734" s="158"/>
    </row>
    <row r="735" spans="1:67" ht="15" x14ac:dyDescent="0.25">
      <c r="A735" s="71"/>
      <c r="B735" s="11"/>
      <c r="C735" s="11"/>
      <c r="D735" s="11"/>
      <c r="E735" s="11"/>
      <c r="F735" s="11"/>
      <c r="G735" s="11"/>
      <c r="H735" s="11"/>
      <c r="I735" s="11"/>
      <c r="J735" s="249"/>
      <c r="K735" s="72"/>
      <c r="L735" s="73"/>
      <c r="M735" s="73"/>
      <c r="N735" s="74"/>
      <c r="O735" s="75"/>
      <c r="P735" s="73"/>
      <c r="Q735" s="76"/>
      <c r="R735" s="76"/>
      <c r="S735" s="76"/>
      <c r="T735" s="76"/>
      <c r="U735" s="76"/>
      <c r="V735" s="76"/>
      <c r="W735" s="76"/>
      <c r="X735" s="76"/>
      <c r="Y735" s="76"/>
      <c r="Z735" s="77"/>
      <c r="AA735" s="77"/>
      <c r="AB735" s="77"/>
      <c r="AC735" s="77"/>
      <c r="AD735" s="77"/>
      <c r="AE735" s="77"/>
      <c r="AF735" s="77"/>
      <c r="AG735" s="77"/>
      <c r="AH735" s="78"/>
      <c r="AI735" s="78"/>
      <c r="AJ735" s="78"/>
      <c r="AK735" s="78"/>
      <c r="AL735" s="78"/>
      <c r="AM735" s="78"/>
      <c r="AN735" s="76"/>
      <c r="AO735" s="76"/>
      <c r="AP735" s="76"/>
      <c r="AQ735" s="76"/>
      <c r="AR735" s="76"/>
      <c r="AS735" s="76"/>
      <c r="AT735" s="76"/>
      <c r="AU735" s="76"/>
      <c r="AV735" s="76"/>
      <c r="AW735" s="79"/>
      <c r="AX735" s="79"/>
      <c r="AY735" s="79"/>
      <c r="AZ735" s="79"/>
      <c r="BA735" s="79"/>
      <c r="BB735" s="11"/>
      <c r="BC735" s="11"/>
      <c r="BD735" s="11"/>
      <c r="BE735" s="73"/>
      <c r="BF735" s="73"/>
      <c r="BG735" s="73"/>
      <c r="BH735" s="77"/>
      <c r="BI735" s="77"/>
      <c r="BJ735" s="77"/>
      <c r="BK735" s="77"/>
      <c r="BL735" s="77"/>
      <c r="BM735" s="77"/>
      <c r="BN735" s="158"/>
      <c r="BO735" s="158"/>
    </row>
    <row r="736" spans="1:67" ht="15" x14ac:dyDescent="0.25">
      <c r="A736" s="71"/>
      <c r="B736" s="11"/>
      <c r="C736" s="11"/>
      <c r="D736" s="11"/>
      <c r="E736" s="11"/>
      <c r="F736" s="11"/>
      <c r="G736" s="11"/>
      <c r="H736" s="11"/>
      <c r="I736" s="11"/>
      <c r="J736" s="249"/>
      <c r="K736" s="72"/>
      <c r="L736" s="73"/>
      <c r="M736" s="73"/>
      <c r="N736" s="74"/>
      <c r="O736" s="75"/>
      <c r="P736" s="73"/>
      <c r="Q736" s="76"/>
      <c r="R736" s="76"/>
      <c r="S736" s="76"/>
      <c r="T736" s="76"/>
      <c r="U736" s="76"/>
      <c r="V736" s="76"/>
      <c r="W736" s="76"/>
      <c r="X736" s="76"/>
      <c r="Y736" s="76"/>
      <c r="Z736" s="77"/>
      <c r="AA736" s="77"/>
      <c r="AB736" s="77"/>
      <c r="AC736" s="77"/>
      <c r="AD736" s="77"/>
      <c r="AE736" s="77"/>
      <c r="AF736" s="77"/>
      <c r="AG736" s="77"/>
      <c r="AH736" s="78"/>
      <c r="AI736" s="78"/>
      <c r="AJ736" s="78"/>
      <c r="AK736" s="78"/>
      <c r="AL736" s="78"/>
      <c r="AM736" s="78"/>
      <c r="AN736" s="76"/>
      <c r="AO736" s="76"/>
      <c r="AP736" s="76"/>
      <c r="AQ736" s="76"/>
      <c r="AR736" s="76"/>
      <c r="AS736" s="76"/>
      <c r="AT736" s="76"/>
      <c r="AU736" s="76"/>
      <c r="AV736" s="76"/>
      <c r="AW736" s="79"/>
      <c r="AX736" s="79"/>
      <c r="AY736" s="79"/>
      <c r="AZ736" s="79"/>
      <c r="BA736" s="79"/>
      <c r="BB736" s="11"/>
      <c r="BC736" s="11"/>
      <c r="BD736" s="11"/>
      <c r="BE736" s="73"/>
      <c r="BF736" s="73"/>
      <c r="BG736" s="73"/>
      <c r="BH736" s="77"/>
      <c r="BI736" s="77"/>
      <c r="BJ736" s="77"/>
      <c r="BK736" s="77"/>
      <c r="BL736" s="77"/>
      <c r="BM736" s="77"/>
      <c r="BN736" s="158"/>
      <c r="BO736" s="158"/>
    </row>
    <row r="737" spans="1:67" ht="15" x14ac:dyDescent="0.25">
      <c r="A737" s="71"/>
      <c r="B737" s="11"/>
      <c r="C737" s="11"/>
      <c r="D737" s="11"/>
      <c r="E737" s="11"/>
      <c r="F737" s="11"/>
      <c r="G737" s="11"/>
      <c r="H737" s="11"/>
      <c r="I737" s="11"/>
      <c r="J737" s="249"/>
      <c r="K737" s="72"/>
      <c r="L737" s="73"/>
      <c r="M737" s="73"/>
      <c r="N737" s="74"/>
      <c r="O737" s="75"/>
      <c r="P737" s="73"/>
      <c r="Q737" s="76"/>
      <c r="R737" s="76"/>
      <c r="S737" s="76"/>
      <c r="T737" s="76"/>
      <c r="U737" s="76"/>
      <c r="V737" s="76"/>
      <c r="W737" s="76"/>
      <c r="X737" s="76"/>
      <c r="Y737" s="76"/>
      <c r="Z737" s="77"/>
      <c r="AA737" s="77"/>
      <c r="AB737" s="77"/>
      <c r="AC737" s="77"/>
      <c r="AD737" s="77"/>
      <c r="AE737" s="77"/>
      <c r="AF737" s="77"/>
      <c r="AG737" s="77"/>
      <c r="AH737" s="78"/>
      <c r="AI737" s="78"/>
      <c r="AJ737" s="78"/>
      <c r="AK737" s="78"/>
      <c r="AL737" s="78"/>
      <c r="AM737" s="78"/>
      <c r="AN737" s="76"/>
      <c r="AO737" s="76"/>
      <c r="AP737" s="76"/>
      <c r="AQ737" s="76"/>
      <c r="AR737" s="76"/>
      <c r="AS737" s="76"/>
      <c r="AT737" s="76"/>
      <c r="AU737" s="76"/>
      <c r="AV737" s="76"/>
      <c r="AW737" s="79"/>
      <c r="AX737" s="79"/>
      <c r="AY737" s="79"/>
      <c r="AZ737" s="79"/>
      <c r="BA737" s="79"/>
      <c r="BB737" s="11"/>
      <c r="BC737" s="11"/>
      <c r="BD737" s="11"/>
      <c r="BE737" s="73"/>
      <c r="BF737" s="73"/>
      <c r="BG737" s="73"/>
      <c r="BH737" s="77"/>
      <c r="BI737" s="77"/>
      <c r="BJ737" s="77"/>
      <c r="BK737" s="77"/>
      <c r="BL737" s="77"/>
      <c r="BM737" s="77"/>
      <c r="BN737" s="158"/>
      <c r="BO737" s="158"/>
    </row>
    <row r="738" spans="1:67" ht="15" x14ac:dyDescent="0.25">
      <c r="A738" s="71"/>
      <c r="B738" s="11"/>
      <c r="C738" s="11"/>
      <c r="D738" s="11"/>
      <c r="E738" s="11"/>
      <c r="F738" s="11"/>
      <c r="G738" s="11"/>
      <c r="H738" s="11"/>
      <c r="I738" s="11"/>
      <c r="J738" s="249"/>
      <c r="K738" s="72"/>
      <c r="L738" s="73"/>
      <c r="M738" s="73"/>
      <c r="N738" s="74"/>
      <c r="O738" s="75"/>
      <c r="P738" s="73"/>
      <c r="Q738" s="76"/>
      <c r="R738" s="76"/>
      <c r="S738" s="76"/>
      <c r="T738" s="76"/>
      <c r="U738" s="76"/>
      <c r="V738" s="76"/>
      <c r="W738" s="76"/>
      <c r="X738" s="76"/>
      <c r="Y738" s="76"/>
      <c r="Z738" s="77"/>
      <c r="AA738" s="77"/>
      <c r="AB738" s="77"/>
      <c r="AC738" s="77"/>
      <c r="AD738" s="77"/>
      <c r="AE738" s="77"/>
      <c r="AF738" s="77"/>
      <c r="AG738" s="77"/>
      <c r="AH738" s="78"/>
      <c r="AI738" s="78"/>
      <c r="AJ738" s="78"/>
      <c r="AK738" s="78"/>
      <c r="AL738" s="78"/>
      <c r="AM738" s="78"/>
      <c r="AN738" s="76"/>
      <c r="AO738" s="76"/>
      <c r="AP738" s="76"/>
      <c r="AQ738" s="76"/>
      <c r="AR738" s="76"/>
      <c r="AS738" s="76"/>
      <c r="AT738" s="76"/>
      <c r="AU738" s="76"/>
      <c r="AV738" s="76"/>
      <c r="AW738" s="79"/>
      <c r="AX738" s="79"/>
      <c r="AY738" s="79"/>
      <c r="AZ738" s="79"/>
      <c r="BA738" s="79"/>
      <c r="BB738" s="11"/>
      <c r="BC738" s="11"/>
      <c r="BD738" s="11"/>
      <c r="BE738" s="73"/>
      <c r="BF738" s="73"/>
      <c r="BG738" s="73"/>
      <c r="BH738" s="77"/>
      <c r="BI738" s="77"/>
      <c r="BJ738" s="77"/>
      <c r="BK738" s="77"/>
      <c r="BL738" s="77"/>
      <c r="BM738" s="77"/>
      <c r="BN738" s="158"/>
      <c r="BO738" s="158"/>
    </row>
    <row r="739" spans="1:67" ht="15" x14ac:dyDescent="0.25">
      <c r="A739" s="71"/>
      <c r="B739" s="11"/>
      <c r="C739" s="11"/>
      <c r="D739" s="11"/>
      <c r="E739" s="11"/>
      <c r="F739" s="11"/>
      <c r="G739" s="11"/>
      <c r="H739" s="11"/>
      <c r="I739" s="11"/>
      <c r="J739" s="249"/>
      <c r="K739" s="72"/>
      <c r="L739" s="73"/>
      <c r="M739" s="73"/>
      <c r="N739" s="74"/>
      <c r="O739" s="75"/>
      <c r="P739" s="73"/>
      <c r="Q739" s="76"/>
      <c r="R739" s="76"/>
      <c r="S739" s="76"/>
      <c r="T739" s="76"/>
      <c r="U739" s="76"/>
      <c r="V739" s="76"/>
      <c r="W739" s="76"/>
      <c r="X739" s="76"/>
      <c r="Y739" s="76"/>
      <c r="Z739" s="77"/>
      <c r="AA739" s="77"/>
      <c r="AB739" s="77"/>
      <c r="AC739" s="77"/>
      <c r="AD739" s="77"/>
      <c r="AE739" s="77"/>
      <c r="AF739" s="77"/>
      <c r="AG739" s="77"/>
      <c r="AH739" s="78"/>
      <c r="AI739" s="78"/>
      <c r="AJ739" s="78"/>
      <c r="AK739" s="78"/>
      <c r="AL739" s="78"/>
      <c r="AM739" s="78"/>
      <c r="AN739" s="76"/>
      <c r="AO739" s="76"/>
      <c r="AP739" s="76"/>
      <c r="AQ739" s="76"/>
      <c r="AR739" s="76"/>
      <c r="AS739" s="76"/>
      <c r="AT739" s="76"/>
      <c r="AU739" s="76"/>
      <c r="AV739" s="76"/>
      <c r="AW739" s="79"/>
      <c r="AX739" s="79"/>
      <c r="AY739" s="79"/>
      <c r="AZ739" s="79"/>
      <c r="BA739" s="79"/>
      <c r="BB739" s="11"/>
      <c r="BC739" s="11"/>
      <c r="BD739" s="11"/>
      <c r="BE739" s="73"/>
      <c r="BF739" s="73"/>
      <c r="BG739" s="73"/>
      <c r="BH739" s="77"/>
      <c r="BI739" s="77"/>
      <c r="BJ739" s="77"/>
      <c r="BK739" s="77"/>
      <c r="BL739" s="77"/>
      <c r="BM739" s="77"/>
      <c r="BN739" s="158"/>
      <c r="BO739" s="158"/>
    </row>
    <row r="740" spans="1:67" ht="15" x14ac:dyDescent="0.25">
      <c r="A740" s="71"/>
      <c r="B740" s="11"/>
      <c r="C740" s="11"/>
      <c r="D740" s="11"/>
      <c r="E740" s="11"/>
      <c r="F740" s="11"/>
      <c r="G740" s="11"/>
      <c r="H740" s="11"/>
      <c r="I740" s="11"/>
      <c r="J740" s="249"/>
      <c r="K740" s="72"/>
      <c r="L740" s="73"/>
      <c r="M740" s="73"/>
      <c r="N740" s="74"/>
      <c r="O740" s="75"/>
      <c r="P740" s="73"/>
      <c r="Q740" s="76"/>
      <c r="R740" s="76"/>
      <c r="S740" s="76"/>
      <c r="T740" s="76"/>
      <c r="U740" s="76"/>
      <c r="V740" s="76"/>
      <c r="W740" s="76"/>
      <c r="X740" s="76"/>
      <c r="Y740" s="76"/>
      <c r="Z740" s="77"/>
      <c r="AA740" s="77"/>
      <c r="AB740" s="77"/>
      <c r="AC740" s="77"/>
      <c r="AD740" s="77"/>
      <c r="AE740" s="77"/>
      <c r="AF740" s="77"/>
      <c r="AG740" s="77"/>
      <c r="AH740" s="78"/>
      <c r="AI740" s="78"/>
      <c r="AJ740" s="78"/>
      <c r="AK740" s="78"/>
      <c r="AL740" s="78"/>
      <c r="AM740" s="78"/>
      <c r="AN740" s="76"/>
      <c r="AO740" s="76"/>
      <c r="AP740" s="76"/>
      <c r="AQ740" s="76"/>
      <c r="AR740" s="76"/>
      <c r="AS740" s="76"/>
      <c r="AT740" s="76"/>
      <c r="AU740" s="76"/>
      <c r="AV740" s="76"/>
      <c r="AW740" s="79"/>
      <c r="AX740" s="79"/>
      <c r="AY740" s="79"/>
      <c r="AZ740" s="79"/>
      <c r="BA740" s="79"/>
      <c r="BB740" s="11"/>
      <c r="BC740" s="11"/>
      <c r="BD740" s="11"/>
      <c r="BE740" s="73"/>
      <c r="BF740" s="73"/>
      <c r="BG740" s="73"/>
      <c r="BH740" s="77"/>
      <c r="BI740" s="77"/>
      <c r="BJ740" s="77"/>
      <c r="BK740" s="77"/>
      <c r="BL740" s="77"/>
      <c r="BM740" s="77"/>
      <c r="BN740" s="158"/>
      <c r="BO740" s="158"/>
    </row>
    <row r="741" spans="1:67" ht="15" x14ac:dyDescent="0.25">
      <c r="A741" s="71"/>
      <c r="B741" s="11"/>
      <c r="C741" s="11"/>
      <c r="D741" s="11"/>
      <c r="E741" s="11"/>
      <c r="F741" s="11"/>
      <c r="G741" s="11"/>
      <c r="H741" s="11"/>
      <c r="I741" s="11"/>
      <c r="J741" s="249"/>
      <c r="K741" s="72"/>
      <c r="L741" s="73"/>
      <c r="M741" s="73"/>
      <c r="N741" s="74"/>
      <c r="O741" s="75"/>
      <c r="P741" s="73"/>
      <c r="Q741" s="76"/>
      <c r="R741" s="76"/>
      <c r="S741" s="76"/>
      <c r="T741" s="76"/>
      <c r="U741" s="76"/>
      <c r="V741" s="76"/>
      <c r="W741" s="76"/>
      <c r="X741" s="76"/>
      <c r="Y741" s="76"/>
      <c r="Z741" s="77"/>
      <c r="AA741" s="77"/>
      <c r="AB741" s="77"/>
      <c r="AC741" s="77"/>
      <c r="AD741" s="77"/>
      <c r="AE741" s="77"/>
      <c r="AF741" s="77"/>
      <c r="AG741" s="77"/>
      <c r="AH741" s="78"/>
      <c r="AI741" s="78"/>
      <c r="AJ741" s="78"/>
      <c r="AK741" s="78"/>
      <c r="AL741" s="78"/>
      <c r="AM741" s="78"/>
      <c r="AN741" s="76"/>
      <c r="AO741" s="76"/>
      <c r="AP741" s="76"/>
      <c r="AQ741" s="76"/>
      <c r="AR741" s="76"/>
      <c r="AS741" s="76"/>
      <c r="AT741" s="76"/>
      <c r="AU741" s="76"/>
      <c r="AV741" s="76"/>
      <c r="AW741" s="79"/>
      <c r="AX741" s="79"/>
      <c r="AY741" s="79"/>
      <c r="AZ741" s="79"/>
      <c r="BA741" s="79"/>
      <c r="BB741" s="11"/>
      <c r="BC741" s="11"/>
      <c r="BD741" s="11"/>
      <c r="BE741" s="73"/>
      <c r="BF741" s="73"/>
      <c r="BG741" s="73"/>
      <c r="BH741" s="77"/>
      <c r="BI741" s="77"/>
      <c r="BJ741" s="77"/>
      <c r="BK741" s="77"/>
      <c r="BL741" s="77"/>
      <c r="BM741" s="77"/>
      <c r="BN741" s="158"/>
      <c r="BO741" s="158"/>
    </row>
    <row r="742" spans="1:67" ht="15" x14ac:dyDescent="0.25">
      <c r="A742" s="71"/>
      <c r="B742" s="11"/>
      <c r="C742" s="11"/>
      <c r="D742" s="11"/>
      <c r="E742" s="11"/>
      <c r="F742" s="11"/>
      <c r="G742" s="11"/>
      <c r="H742" s="11"/>
      <c r="I742" s="11"/>
      <c r="J742" s="249"/>
      <c r="K742" s="72"/>
      <c r="L742" s="73"/>
      <c r="M742" s="73"/>
      <c r="N742" s="74"/>
      <c r="O742" s="75"/>
      <c r="P742" s="73"/>
      <c r="Q742" s="76"/>
      <c r="R742" s="76"/>
      <c r="S742" s="76"/>
      <c r="T742" s="76"/>
      <c r="U742" s="76"/>
      <c r="V742" s="76"/>
      <c r="W742" s="76"/>
      <c r="X742" s="76"/>
      <c r="Y742" s="76"/>
      <c r="Z742" s="77"/>
      <c r="AA742" s="77"/>
      <c r="AB742" s="77"/>
      <c r="AC742" s="77"/>
      <c r="AD742" s="77"/>
      <c r="AE742" s="77"/>
      <c r="AF742" s="77"/>
      <c r="AG742" s="77"/>
      <c r="AH742" s="78"/>
      <c r="AI742" s="78"/>
      <c r="AJ742" s="78"/>
      <c r="AK742" s="78"/>
      <c r="AL742" s="78"/>
      <c r="AM742" s="78"/>
      <c r="AN742" s="76"/>
      <c r="AO742" s="76"/>
      <c r="AP742" s="76"/>
      <c r="AQ742" s="76"/>
      <c r="AR742" s="76"/>
      <c r="AS742" s="76"/>
      <c r="AT742" s="76"/>
      <c r="AU742" s="76"/>
      <c r="AV742" s="76"/>
      <c r="AW742" s="79"/>
      <c r="AX742" s="79"/>
      <c r="AY742" s="79"/>
      <c r="AZ742" s="79"/>
      <c r="BA742" s="79"/>
      <c r="BB742" s="11"/>
      <c r="BC742" s="11"/>
      <c r="BD742" s="11"/>
      <c r="BE742" s="73"/>
      <c r="BF742" s="73"/>
      <c r="BG742" s="73"/>
      <c r="BH742" s="77"/>
      <c r="BI742" s="77"/>
      <c r="BJ742" s="77"/>
      <c r="BK742" s="77"/>
      <c r="BL742" s="77"/>
      <c r="BM742" s="77"/>
      <c r="BN742" s="158"/>
      <c r="BO742" s="158"/>
    </row>
    <row r="743" spans="1:67" ht="15" x14ac:dyDescent="0.25">
      <c r="A743" s="71"/>
      <c r="B743" s="11"/>
      <c r="C743" s="11"/>
      <c r="D743" s="11"/>
      <c r="E743" s="11"/>
      <c r="F743" s="11"/>
      <c r="G743" s="11"/>
      <c r="H743" s="11"/>
      <c r="I743" s="11"/>
      <c r="J743" s="249"/>
      <c r="K743" s="72"/>
      <c r="L743" s="73"/>
      <c r="M743" s="73"/>
      <c r="N743" s="74"/>
      <c r="O743" s="75"/>
      <c r="P743" s="73"/>
      <c r="Q743" s="76"/>
      <c r="R743" s="76"/>
      <c r="S743" s="76"/>
      <c r="T743" s="76"/>
      <c r="U743" s="76"/>
      <c r="V743" s="76"/>
      <c r="W743" s="76"/>
      <c r="X743" s="76"/>
      <c r="Y743" s="76"/>
      <c r="Z743" s="77"/>
      <c r="AA743" s="77"/>
      <c r="AB743" s="77"/>
      <c r="AC743" s="77"/>
      <c r="AD743" s="77"/>
      <c r="AE743" s="77"/>
      <c r="AF743" s="77"/>
      <c r="AG743" s="77"/>
      <c r="AH743" s="78"/>
      <c r="AI743" s="78"/>
      <c r="AJ743" s="78"/>
      <c r="AK743" s="78"/>
      <c r="AL743" s="78"/>
      <c r="AM743" s="78"/>
      <c r="AN743" s="76"/>
      <c r="AO743" s="76"/>
      <c r="AP743" s="76"/>
      <c r="AQ743" s="76"/>
      <c r="AR743" s="76"/>
      <c r="AS743" s="76"/>
      <c r="AT743" s="76"/>
      <c r="AU743" s="76"/>
      <c r="AV743" s="76"/>
      <c r="AW743" s="79"/>
      <c r="AX743" s="79"/>
      <c r="AY743" s="79"/>
      <c r="AZ743" s="79"/>
      <c r="BA743" s="79"/>
      <c r="BB743" s="11"/>
      <c r="BC743" s="11"/>
      <c r="BD743" s="11"/>
      <c r="BE743" s="73"/>
      <c r="BF743" s="73"/>
      <c r="BG743" s="73"/>
      <c r="BH743" s="77"/>
      <c r="BI743" s="77"/>
      <c r="BJ743" s="77"/>
      <c r="BK743" s="77"/>
      <c r="BL743" s="77"/>
      <c r="BM743" s="77"/>
      <c r="BN743" s="158"/>
      <c r="BO743" s="158"/>
    </row>
    <row r="744" spans="1:67" ht="15" x14ac:dyDescent="0.25">
      <c r="A744" s="71"/>
      <c r="B744" s="11"/>
      <c r="C744" s="11"/>
      <c r="D744" s="11"/>
      <c r="E744" s="11"/>
      <c r="F744" s="11"/>
      <c r="G744" s="11"/>
      <c r="H744" s="11"/>
      <c r="I744" s="11"/>
      <c r="J744" s="249"/>
      <c r="K744" s="72"/>
      <c r="L744" s="73"/>
      <c r="M744" s="73"/>
      <c r="N744" s="74"/>
      <c r="O744" s="75"/>
      <c r="P744" s="73"/>
      <c r="Q744" s="76"/>
      <c r="R744" s="76"/>
      <c r="S744" s="76"/>
      <c r="T744" s="76"/>
      <c r="U744" s="76"/>
      <c r="V744" s="76"/>
      <c r="W744" s="76"/>
      <c r="X744" s="76"/>
      <c r="Y744" s="76"/>
      <c r="Z744" s="77"/>
      <c r="AA744" s="77"/>
      <c r="AB744" s="77"/>
      <c r="AC744" s="77"/>
      <c r="AD744" s="77"/>
      <c r="AE744" s="77"/>
      <c r="AF744" s="77"/>
      <c r="AG744" s="77"/>
      <c r="AH744" s="78"/>
      <c r="AI744" s="78"/>
      <c r="AJ744" s="78"/>
      <c r="AK744" s="78"/>
      <c r="AL744" s="78"/>
      <c r="AM744" s="78"/>
      <c r="AN744" s="76"/>
      <c r="AO744" s="76"/>
      <c r="AP744" s="76"/>
      <c r="AQ744" s="76"/>
      <c r="AR744" s="76"/>
      <c r="AS744" s="76"/>
      <c r="AT744" s="76"/>
      <c r="AU744" s="76"/>
      <c r="AV744" s="76"/>
      <c r="AW744" s="79"/>
      <c r="AX744" s="79"/>
      <c r="AY744" s="79"/>
      <c r="AZ744" s="79"/>
      <c r="BA744" s="79"/>
      <c r="BB744" s="11"/>
      <c r="BC744" s="11"/>
      <c r="BD744" s="11"/>
      <c r="BE744" s="73"/>
      <c r="BF744" s="73"/>
      <c r="BG744" s="73"/>
      <c r="BH744" s="77"/>
      <c r="BI744" s="77"/>
      <c r="BJ744" s="77"/>
      <c r="BK744" s="77"/>
      <c r="BL744" s="77"/>
      <c r="BM744" s="77"/>
      <c r="BN744" s="158"/>
      <c r="BO744" s="158"/>
    </row>
    <row r="745" spans="1:67" ht="15" x14ac:dyDescent="0.25">
      <c r="A745" s="71"/>
      <c r="B745" s="11"/>
      <c r="C745" s="11"/>
      <c r="D745" s="11"/>
      <c r="E745" s="11"/>
      <c r="F745" s="11"/>
      <c r="G745" s="11"/>
      <c r="H745" s="11"/>
      <c r="I745" s="11"/>
      <c r="J745" s="249"/>
      <c r="K745" s="72"/>
      <c r="L745" s="73"/>
      <c r="M745" s="73"/>
      <c r="N745" s="74"/>
      <c r="O745" s="75"/>
      <c r="P745" s="73"/>
      <c r="Q745" s="76"/>
      <c r="R745" s="76"/>
      <c r="S745" s="76"/>
      <c r="T745" s="76"/>
      <c r="U745" s="76"/>
      <c r="V745" s="76"/>
      <c r="W745" s="76"/>
      <c r="X745" s="76"/>
      <c r="Y745" s="76"/>
      <c r="Z745" s="77"/>
      <c r="AA745" s="77"/>
      <c r="AB745" s="77"/>
      <c r="AC745" s="77"/>
      <c r="AD745" s="77"/>
      <c r="AE745" s="77"/>
      <c r="AF745" s="77"/>
      <c r="AG745" s="77"/>
      <c r="AH745" s="78"/>
      <c r="AI745" s="78"/>
      <c r="AJ745" s="78"/>
      <c r="AK745" s="78"/>
      <c r="AL745" s="78"/>
      <c r="AM745" s="78"/>
      <c r="AN745" s="76"/>
      <c r="AO745" s="76"/>
      <c r="AP745" s="76"/>
      <c r="AQ745" s="76"/>
      <c r="AR745" s="76"/>
      <c r="AS745" s="76"/>
      <c r="AT745" s="76"/>
      <c r="AU745" s="76"/>
      <c r="AV745" s="76"/>
      <c r="AW745" s="79"/>
      <c r="AX745" s="79"/>
      <c r="AY745" s="79"/>
      <c r="AZ745" s="79"/>
      <c r="BA745" s="79"/>
      <c r="BB745" s="11"/>
      <c r="BC745" s="11"/>
      <c r="BD745" s="11"/>
      <c r="BE745" s="73"/>
      <c r="BF745" s="73"/>
      <c r="BG745" s="73"/>
      <c r="BH745" s="77"/>
      <c r="BI745" s="77"/>
      <c r="BJ745" s="77"/>
      <c r="BK745" s="77"/>
      <c r="BL745" s="77"/>
      <c r="BM745" s="77"/>
      <c r="BN745" s="158"/>
      <c r="BO745" s="158"/>
    </row>
    <row r="746" spans="1:67" ht="15" x14ac:dyDescent="0.25">
      <c r="A746" s="71"/>
      <c r="B746" s="11"/>
      <c r="C746" s="11"/>
      <c r="D746" s="11"/>
      <c r="E746" s="11"/>
      <c r="F746" s="11"/>
      <c r="G746" s="11"/>
      <c r="H746" s="11"/>
      <c r="I746" s="11"/>
      <c r="J746" s="249"/>
      <c r="K746" s="72"/>
      <c r="L746" s="73"/>
      <c r="M746" s="73"/>
      <c r="N746" s="74"/>
      <c r="O746" s="75"/>
      <c r="P746" s="73"/>
      <c r="Q746" s="76"/>
      <c r="R746" s="76"/>
      <c r="S746" s="76"/>
      <c r="T746" s="76"/>
      <c r="U746" s="76"/>
      <c r="V746" s="76"/>
      <c r="W746" s="76"/>
      <c r="X746" s="76"/>
      <c r="Y746" s="76"/>
      <c r="Z746" s="77"/>
      <c r="AA746" s="77"/>
      <c r="AB746" s="77"/>
      <c r="AC746" s="77"/>
      <c r="AD746" s="77"/>
      <c r="AE746" s="77"/>
      <c r="AF746" s="77"/>
      <c r="AG746" s="77"/>
      <c r="AH746" s="78"/>
      <c r="AI746" s="78"/>
      <c r="AJ746" s="78"/>
      <c r="AK746" s="78"/>
      <c r="AL746" s="78"/>
      <c r="AM746" s="78"/>
      <c r="AN746" s="76"/>
      <c r="AO746" s="76"/>
      <c r="AP746" s="76"/>
      <c r="AQ746" s="76"/>
      <c r="AR746" s="76"/>
      <c r="AS746" s="76"/>
      <c r="AT746" s="76"/>
      <c r="AU746" s="76"/>
      <c r="AV746" s="76"/>
      <c r="AW746" s="79"/>
      <c r="AX746" s="79"/>
      <c r="AY746" s="79"/>
      <c r="AZ746" s="79"/>
      <c r="BA746" s="79"/>
      <c r="BB746" s="11"/>
      <c r="BC746" s="11"/>
      <c r="BD746" s="11"/>
      <c r="BE746" s="73"/>
      <c r="BF746" s="73"/>
      <c r="BG746" s="73"/>
      <c r="BH746" s="77"/>
      <c r="BI746" s="77"/>
      <c r="BJ746" s="77"/>
      <c r="BK746" s="77"/>
      <c r="BL746" s="77"/>
      <c r="BM746" s="77"/>
      <c r="BN746" s="158"/>
      <c r="BO746" s="158"/>
    </row>
    <row r="747" spans="1:67" ht="15" x14ac:dyDescent="0.25">
      <c r="A747" s="71"/>
      <c r="B747" s="11"/>
      <c r="C747" s="11"/>
      <c r="D747" s="11"/>
      <c r="E747" s="11"/>
      <c r="F747" s="11"/>
      <c r="G747" s="11"/>
      <c r="H747" s="11"/>
      <c r="I747" s="11"/>
      <c r="J747" s="249"/>
      <c r="K747" s="72"/>
      <c r="L747" s="73"/>
      <c r="M747" s="73"/>
      <c r="N747" s="74"/>
      <c r="O747" s="75"/>
      <c r="P747" s="73"/>
      <c r="Q747" s="76"/>
      <c r="R747" s="76"/>
      <c r="S747" s="76"/>
      <c r="T747" s="76"/>
      <c r="U747" s="76"/>
      <c r="V747" s="76"/>
      <c r="W747" s="76"/>
      <c r="X747" s="76"/>
      <c r="Y747" s="76"/>
      <c r="Z747" s="77"/>
      <c r="AA747" s="77"/>
      <c r="AB747" s="77"/>
      <c r="AC747" s="77"/>
      <c r="AD747" s="77"/>
      <c r="AE747" s="77"/>
      <c r="AF747" s="77"/>
      <c r="AG747" s="77"/>
      <c r="AH747" s="78"/>
      <c r="AI747" s="78"/>
      <c r="AJ747" s="78"/>
      <c r="AK747" s="78"/>
      <c r="AL747" s="78"/>
      <c r="AM747" s="78"/>
      <c r="AN747" s="76"/>
      <c r="AO747" s="76"/>
      <c r="AP747" s="76"/>
      <c r="AQ747" s="76"/>
      <c r="AR747" s="76"/>
      <c r="AS747" s="76"/>
      <c r="AT747" s="76"/>
      <c r="AU747" s="76"/>
      <c r="AV747" s="76"/>
      <c r="AW747" s="79"/>
      <c r="AX747" s="79"/>
      <c r="AY747" s="79"/>
      <c r="AZ747" s="79"/>
      <c r="BA747" s="79"/>
      <c r="BB747" s="11"/>
      <c r="BC747" s="11"/>
      <c r="BD747" s="11"/>
      <c r="BE747" s="73"/>
      <c r="BF747" s="73"/>
      <c r="BG747" s="73"/>
      <c r="BH747" s="77"/>
      <c r="BI747" s="77"/>
      <c r="BJ747" s="77"/>
      <c r="BK747" s="77"/>
      <c r="BL747" s="77"/>
      <c r="BM747" s="77"/>
      <c r="BN747" s="158"/>
      <c r="BO747" s="158"/>
    </row>
    <row r="748" spans="1:67" ht="15" x14ac:dyDescent="0.25">
      <c r="A748" s="71"/>
      <c r="B748" s="11"/>
      <c r="C748" s="11"/>
      <c r="D748" s="11"/>
      <c r="E748" s="11"/>
      <c r="F748" s="11"/>
      <c r="G748" s="11"/>
      <c r="H748" s="11"/>
      <c r="I748" s="11"/>
      <c r="J748" s="249"/>
      <c r="K748" s="72"/>
      <c r="L748" s="73"/>
      <c r="M748" s="73"/>
      <c r="N748" s="74"/>
      <c r="O748" s="75"/>
      <c r="P748" s="73"/>
      <c r="Q748" s="76"/>
      <c r="R748" s="76"/>
      <c r="S748" s="76"/>
      <c r="T748" s="76"/>
      <c r="U748" s="76"/>
      <c r="V748" s="76"/>
      <c r="W748" s="76"/>
      <c r="X748" s="76"/>
      <c r="Y748" s="76"/>
      <c r="Z748" s="77"/>
      <c r="AA748" s="77"/>
      <c r="AB748" s="77"/>
      <c r="AC748" s="77"/>
      <c r="AD748" s="77"/>
      <c r="AE748" s="77"/>
      <c r="AF748" s="77"/>
      <c r="AG748" s="77"/>
      <c r="AH748" s="78"/>
      <c r="AI748" s="78"/>
      <c r="AJ748" s="78"/>
      <c r="AK748" s="78"/>
      <c r="AL748" s="78"/>
      <c r="AM748" s="78"/>
      <c r="AN748" s="76"/>
      <c r="AO748" s="76"/>
      <c r="AP748" s="76"/>
      <c r="AQ748" s="76"/>
      <c r="AR748" s="76"/>
      <c r="AS748" s="76"/>
      <c r="AT748" s="76"/>
      <c r="AU748" s="76"/>
      <c r="AV748" s="76"/>
      <c r="AW748" s="79"/>
      <c r="AX748" s="79"/>
      <c r="AY748" s="79"/>
      <c r="AZ748" s="79"/>
      <c r="BA748" s="79"/>
      <c r="BB748" s="11"/>
      <c r="BC748" s="11"/>
      <c r="BD748" s="11"/>
      <c r="BE748" s="73"/>
      <c r="BF748" s="73"/>
      <c r="BG748" s="73"/>
      <c r="BH748" s="77"/>
      <c r="BI748" s="77"/>
      <c r="BJ748" s="77"/>
      <c r="BK748" s="77"/>
      <c r="BL748" s="77"/>
      <c r="BM748" s="77"/>
      <c r="BN748" s="158"/>
      <c r="BO748" s="158"/>
    </row>
    <row r="749" spans="1:67" ht="15" x14ac:dyDescent="0.25">
      <c r="A749" s="71"/>
      <c r="B749" s="11"/>
      <c r="C749" s="11"/>
      <c r="D749" s="11"/>
      <c r="E749" s="11"/>
      <c r="F749" s="11"/>
      <c r="G749" s="11"/>
      <c r="H749" s="11"/>
      <c r="I749" s="11"/>
      <c r="J749" s="249"/>
      <c r="K749" s="72"/>
      <c r="L749" s="73"/>
      <c r="M749" s="73"/>
      <c r="N749" s="74"/>
      <c r="O749" s="75"/>
      <c r="P749" s="73"/>
      <c r="Q749" s="76"/>
      <c r="R749" s="76"/>
      <c r="S749" s="76"/>
      <c r="T749" s="76"/>
      <c r="U749" s="76"/>
      <c r="V749" s="76"/>
      <c r="W749" s="76"/>
      <c r="X749" s="76"/>
      <c r="Y749" s="76"/>
      <c r="Z749" s="77"/>
      <c r="AA749" s="77"/>
      <c r="AB749" s="77"/>
      <c r="AC749" s="77"/>
      <c r="AD749" s="77"/>
      <c r="AE749" s="77"/>
      <c r="AF749" s="77"/>
      <c r="AG749" s="77"/>
      <c r="AH749" s="78"/>
      <c r="AI749" s="78"/>
      <c r="AJ749" s="78"/>
      <c r="AK749" s="78"/>
      <c r="AL749" s="78"/>
      <c r="AM749" s="78"/>
      <c r="AN749" s="76"/>
      <c r="AO749" s="76"/>
      <c r="AP749" s="76"/>
      <c r="AQ749" s="76"/>
      <c r="AR749" s="76"/>
      <c r="AS749" s="76"/>
      <c r="AT749" s="76"/>
      <c r="AU749" s="76"/>
      <c r="AV749" s="76"/>
      <c r="AW749" s="79"/>
      <c r="AX749" s="79"/>
      <c r="AY749" s="79"/>
      <c r="AZ749" s="79"/>
      <c r="BA749" s="79"/>
      <c r="BB749" s="11"/>
      <c r="BC749" s="11"/>
      <c r="BD749" s="11"/>
      <c r="BE749" s="73"/>
      <c r="BF749" s="73"/>
      <c r="BG749" s="73"/>
      <c r="BH749" s="77"/>
      <c r="BI749" s="77"/>
      <c r="BJ749" s="77"/>
      <c r="BK749" s="77"/>
      <c r="BL749" s="77"/>
      <c r="BM749" s="77"/>
      <c r="BN749" s="158"/>
      <c r="BO749" s="158"/>
    </row>
    <row r="750" spans="1:67" ht="15" x14ac:dyDescent="0.25">
      <c r="A750" s="71"/>
      <c r="B750" s="11"/>
      <c r="C750" s="11"/>
      <c r="D750" s="11"/>
      <c r="E750" s="11"/>
      <c r="F750" s="11"/>
      <c r="G750" s="11"/>
      <c r="H750" s="11"/>
      <c r="I750" s="11"/>
      <c r="J750" s="249"/>
      <c r="K750" s="72"/>
      <c r="L750" s="73"/>
      <c r="M750" s="73"/>
      <c r="N750" s="74"/>
      <c r="O750" s="75"/>
      <c r="P750" s="73"/>
      <c r="Q750" s="76"/>
      <c r="R750" s="76"/>
      <c r="S750" s="76"/>
      <c r="T750" s="76"/>
      <c r="U750" s="76"/>
      <c r="V750" s="76"/>
      <c r="W750" s="76"/>
      <c r="X750" s="76"/>
      <c r="Y750" s="76"/>
      <c r="Z750" s="77"/>
      <c r="AA750" s="77"/>
      <c r="AB750" s="77"/>
      <c r="AC750" s="77"/>
      <c r="AD750" s="77"/>
      <c r="AE750" s="77"/>
      <c r="AF750" s="77"/>
      <c r="AG750" s="77"/>
      <c r="AH750" s="78"/>
      <c r="AI750" s="78"/>
      <c r="AJ750" s="78"/>
      <c r="AK750" s="78"/>
      <c r="AL750" s="78"/>
      <c r="AM750" s="78"/>
      <c r="AN750" s="76"/>
      <c r="AO750" s="76"/>
      <c r="AP750" s="76"/>
      <c r="AQ750" s="76"/>
      <c r="AR750" s="76"/>
      <c r="AS750" s="76"/>
      <c r="AT750" s="76"/>
      <c r="AU750" s="76"/>
      <c r="AV750" s="76"/>
      <c r="AW750" s="79"/>
      <c r="AX750" s="79"/>
      <c r="AY750" s="79"/>
      <c r="AZ750" s="79"/>
      <c r="BA750" s="79"/>
      <c r="BB750" s="11"/>
      <c r="BC750" s="11"/>
      <c r="BD750" s="11"/>
      <c r="BE750" s="73"/>
      <c r="BF750" s="73"/>
      <c r="BG750" s="73"/>
      <c r="BH750" s="77"/>
      <c r="BI750" s="77"/>
      <c r="BJ750" s="77"/>
      <c r="BK750" s="77"/>
      <c r="BL750" s="77"/>
      <c r="BM750" s="77"/>
      <c r="BN750" s="158"/>
      <c r="BO750" s="158"/>
    </row>
    <row r="751" spans="1:67" ht="15" x14ac:dyDescent="0.25">
      <c r="A751" s="71"/>
      <c r="B751" s="11"/>
      <c r="C751" s="11"/>
      <c r="D751" s="11"/>
      <c r="E751" s="11"/>
      <c r="F751" s="11"/>
      <c r="G751" s="11"/>
      <c r="H751" s="11"/>
      <c r="I751" s="11"/>
      <c r="J751" s="249"/>
      <c r="K751" s="72"/>
      <c r="L751" s="73"/>
      <c r="M751" s="73"/>
      <c r="N751" s="74"/>
      <c r="O751" s="75"/>
      <c r="P751" s="73"/>
      <c r="Q751" s="76"/>
      <c r="R751" s="76"/>
      <c r="S751" s="76"/>
      <c r="T751" s="76"/>
      <c r="U751" s="76"/>
      <c r="V751" s="76"/>
      <c r="W751" s="76"/>
      <c r="X751" s="76"/>
      <c r="Y751" s="76"/>
      <c r="Z751" s="77"/>
      <c r="AA751" s="77"/>
      <c r="AB751" s="77"/>
      <c r="AC751" s="77"/>
      <c r="AD751" s="77"/>
      <c r="AE751" s="77"/>
      <c r="AF751" s="77"/>
      <c r="AG751" s="77"/>
      <c r="AH751" s="78"/>
      <c r="AI751" s="78"/>
      <c r="AJ751" s="78"/>
      <c r="AK751" s="78"/>
      <c r="AL751" s="78"/>
      <c r="AM751" s="78"/>
      <c r="AN751" s="76"/>
      <c r="AO751" s="76"/>
      <c r="AP751" s="76"/>
      <c r="AQ751" s="76"/>
      <c r="AR751" s="76"/>
      <c r="AS751" s="76"/>
      <c r="AT751" s="76"/>
      <c r="AU751" s="76"/>
      <c r="AV751" s="76"/>
      <c r="AW751" s="79"/>
      <c r="AX751" s="79"/>
      <c r="AY751" s="79"/>
      <c r="AZ751" s="79"/>
      <c r="BA751" s="79"/>
      <c r="BB751" s="11"/>
      <c r="BC751" s="11"/>
      <c r="BD751" s="11"/>
      <c r="BE751" s="73"/>
      <c r="BF751" s="73"/>
      <c r="BG751" s="73"/>
      <c r="BH751" s="77"/>
      <c r="BI751" s="77"/>
      <c r="BJ751" s="77"/>
      <c r="BK751" s="77"/>
      <c r="BL751" s="77"/>
      <c r="BM751" s="77"/>
      <c r="BN751" s="158"/>
      <c r="BO751" s="158"/>
    </row>
    <row r="752" spans="1:67" ht="15" x14ac:dyDescent="0.25">
      <c r="A752" s="71"/>
      <c r="B752" s="11"/>
      <c r="C752" s="11"/>
      <c r="D752" s="11"/>
      <c r="E752" s="11"/>
      <c r="F752" s="11"/>
      <c r="G752" s="11"/>
      <c r="H752" s="11"/>
      <c r="I752" s="11"/>
      <c r="J752" s="249"/>
      <c r="K752" s="72"/>
      <c r="L752" s="73"/>
      <c r="M752" s="73"/>
      <c r="N752" s="74"/>
      <c r="O752" s="75"/>
      <c r="P752" s="73"/>
      <c r="Q752" s="76"/>
      <c r="R752" s="76"/>
      <c r="S752" s="76"/>
      <c r="T752" s="76"/>
      <c r="U752" s="76"/>
      <c r="V752" s="76"/>
      <c r="W752" s="76"/>
      <c r="X752" s="76"/>
      <c r="Y752" s="76"/>
      <c r="Z752" s="77"/>
      <c r="AA752" s="77"/>
      <c r="AB752" s="77"/>
      <c r="AC752" s="77"/>
      <c r="AD752" s="77"/>
      <c r="AE752" s="77"/>
      <c r="AF752" s="77"/>
      <c r="AG752" s="77"/>
      <c r="AH752" s="78"/>
      <c r="AI752" s="78"/>
      <c r="AJ752" s="78"/>
      <c r="AK752" s="78"/>
      <c r="AL752" s="78"/>
      <c r="AM752" s="78"/>
      <c r="AN752" s="76"/>
      <c r="AO752" s="76"/>
      <c r="AP752" s="76"/>
      <c r="AQ752" s="76"/>
      <c r="AR752" s="76"/>
      <c r="AS752" s="76"/>
      <c r="AT752" s="76"/>
      <c r="AU752" s="76"/>
      <c r="AV752" s="76"/>
      <c r="AW752" s="79"/>
      <c r="AX752" s="79"/>
      <c r="AY752" s="79"/>
      <c r="AZ752" s="79"/>
      <c r="BA752" s="79"/>
      <c r="BB752" s="11"/>
      <c r="BC752" s="11"/>
      <c r="BD752" s="11"/>
      <c r="BE752" s="73"/>
      <c r="BF752" s="73"/>
      <c r="BG752" s="73"/>
      <c r="BH752" s="77"/>
      <c r="BI752" s="77"/>
      <c r="BJ752" s="77"/>
      <c r="BK752" s="77"/>
      <c r="BL752" s="77"/>
      <c r="BM752" s="77"/>
      <c r="BN752" s="158"/>
      <c r="BO752" s="158"/>
    </row>
    <row r="753" spans="1:67" ht="15" x14ac:dyDescent="0.25">
      <c r="A753" s="71"/>
      <c r="B753" s="11"/>
      <c r="C753" s="11"/>
      <c r="D753" s="11"/>
      <c r="E753" s="11"/>
      <c r="F753" s="11"/>
      <c r="G753" s="11"/>
      <c r="H753" s="11"/>
      <c r="I753" s="11"/>
      <c r="J753" s="249"/>
      <c r="K753" s="72"/>
      <c r="L753" s="73"/>
      <c r="M753" s="73"/>
      <c r="N753" s="74"/>
      <c r="O753" s="75"/>
      <c r="P753" s="73"/>
      <c r="Q753" s="76"/>
      <c r="R753" s="76"/>
      <c r="S753" s="76"/>
      <c r="T753" s="76"/>
      <c r="U753" s="76"/>
      <c r="V753" s="76"/>
      <c r="W753" s="76"/>
      <c r="X753" s="76"/>
      <c r="Y753" s="76"/>
      <c r="Z753" s="77"/>
      <c r="AA753" s="77"/>
      <c r="AB753" s="77"/>
      <c r="AC753" s="77"/>
      <c r="AD753" s="77"/>
      <c r="AE753" s="77"/>
      <c r="AF753" s="77"/>
      <c r="AG753" s="77"/>
      <c r="AH753" s="78"/>
      <c r="AI753" s="78"/>
      <c r="AJ753" s="78"/>
      <c r="AK753" s="78"/>
      <c r="AL753" s="78"/>
      <c r="AM753" s="78"/>
      <c r="AN753" s="76"/>
      <c r="AO753" s="76"/>
      <c r="AP753" s="76"/>
      <c r="AQ753" s="76"/>
      <c r="AR753" s="76"/>
      <c r="AS753" s="76"/>
      <c r="AT753" s="76"/>
      <c r="AU753" s="76"/>
      <c r="AV753" s="76"/>
      <c r="AW753" s="79"/>
      <c r="AX753" s="79"/>
      <c r="AY753" s="79"/>
      <c r="AZ753" s="79"/>
      <c r="BA753" s="79"/>
      <c r="BB753" s="11"/>
      <c r="BC753" s="11"/>
      <c r="BD753" s="11"/>
      <c r="BE753" s="73"/>
      <c r="BF753" s="73"/>
      <c r="BG753" s="73"/>
      <c r="BH753" s="77"/>
      <c r="BI753" s="77"/>
      <c r="BJ753" s="77"/>
      <c r="BK753" s="77"/>
      <c r="BL753" s="77"/>
      <c r="BM753" s="77"/>
      <c r="BN753" s="158"/>
      <c r="BO753" s="158"/>
    </row>
    <row r="754" spans="1:67" ht="15" x14ac:dyDescent="0.25">
      <c r="A754" s="71"/>
      <c r="B754" s="11"/>
      <c r="C754" s="11"/>
      <c r="D754" s="11"/>
      <c r="E754" s="11"/>
      <c r="F754" s="11"/>
      <c r="G754" s="11"/>
      <c r="H754" s="11"/>
      <c r="I754" s="11"/>
      <c r="J754" s="249"/>
      <c r="K754" s="72"/>
      <c r="L754" s="73"/>
      <c r="M754" s="73"/>
      <c r="N754" s="74"/>
      <c r="O754" s="75"/>
      <c r="P754" s="73"/>
      <c r="Q754" s="76"/>
      <c r="R754" s="76"/>
      <c r="S754" s="76"/>
      <c r="T754" s="76"/>
      <c r="U754" s="76"/>
      <c r="V754" s="76"/>
      <c r="W754" s="76"/>
      <c r="X754" s="76"/>
      <c r="Y754" s="76"/>
      <c r="Z754" s="77"/>
      <c r="AA754" s="77"/>
      <c r="AB754" s="77"/>
      <c r="AC754" s="77"/>
      <c r="AD754" s="77"/>
      <c r="AE754" s="77"/>
      <c r="AF754" s="77"/>
      <c r="AG754" s="77"/>
      <c r="AH754" s="78"/>
      <c r="AI754" s="78"/>
      <c r="AJ754" s="78"/>
      <c r="AK754" s="78"/>
      <c r="AL754" s="78"/>
      <c r="AM754" s="78"/>
      <c r="AN754" s="76"/>
      <c r="AO754" s="76"/>
      <c r="AP754" s="76"/>
      <c r="AQ754" s="76"/>
      <c r="AR754" s="76"/>
      <c r="AS754" s="76"/>
      <c r="AT754" s="76"/>
      <c r="AU754" s="76"/>
      <c r="AV754" s="76"/>
      <c r="AW754" s="79"/>
      <c r="AX754" s="79"/>
      <c r="AY754" s="79"/>
      <c r="AZ754" s="79"/>
      <c r="BA754" s="79"/>
      <c r="BB754" s="11"/>
      <c r="BC754" s="11"/>
      <c r="BD754" s="11"/>
      <c r="BE754" s="73"/>
      <c r="BF754" s="73"/>
      <c r="BG754" s="73"/>
      <c r="BH754" s="77"/>
      <c r="BI754" s="77"/>
      <c r="BJ754" s="77"/>
      <c r="BK754" s="77"/>
      <c r="BL754" s="77"/>
      <c r="BM754" s="77"/>
      <c r="BN754" s="158"/>
      <c r="BO754" s="158"/>
    </row>
    <row r="755" spans="1:67" ht="15" x14ac:dyDescent="0.25">
      <c r="A755" s="71"/>
      <c r="B755" s="11"/>
      <c r="C755" s="11"/>
      <c r="D755" s="11"/>
      <c r="E755" s="11"/>
      <c r="F755" s="11"/>
      <c r="G755" s="11"/>
      <c r="H755" s="11"/>
      <c r="I755" s="11"/>
      <c r="J755" s="249"/>
      <c r="K755" s="72"/>
      <c r="L755" s="73"/>
      <c r="M755" s="73"/>
      <c r="N755" s="74"/>
      <c r="O755" s="75"/>
      <c r="P755" s="73"/>
      <c r="Q755" s="76"/>
      <c r="R755" s="76"/>
      <c r="S755" s="76"/>
      <c r="T755" s="76"/>
      <c r="U755" s="76"/>
      <c r="V755" s="76"/>
      <c r="W755" s="76"/>
      <c r="X755" s="76"/>
      <c r="Y755" s="76"/>
      <c r="Z755" s="77"/>
      <c r="AA755" s="77"/>
      <c r="AB755" s="77"/>
      <c r="AC755" s="77"/>
      <c r="AD755" s="77"/>
      <c r="AE755" s="77"/>
      <c r="AF755" s="77"/>
      <c r="AG755" s="77"/>
      <c r="AH755" s="78"/>
      <c r="AI755" s="78"/>
      <c r="AJ755" s="78"/>
      <c r="AK755" s="78"/>
      <c r="AL755" s="78"/>
      <c r="AM755" s="78"/>
      <c r="AN755" s="76"/>
      <c r="AO755" s="76"/>
      <c r="AP755" s="76"/>
      <c r="AQ755" s="76"/>
      <c r="AR755" s="76"/>
      <c r="AS755" s="76"/>
      <c r="AT755" s="76"/>
      <c r="AU755" s="76"/>
      <c r="AV755" s="76"/>
      <c r="AW755" s="79"/>
      <c r="AX755" s="79"/>
      <c r="AY755" s="79"/>
      <c r="AZ755" s="79"/>
      <c r="BA755" s="79"/>
      <c r="BB755" s="11"/>
      <c r="BC755" s="11"/>
      <c r="BD755" s="11"/>
      <c r="BE755" s="73"/>
      <c r="BF755" s="73"/>
      <c r="BG755" s="73"/>
      <c r="BH755" s="77"/>
      <c r="BI755" s="77"/>
      <c r="BJ755" s="77"/>
      <c r="BK755" s="77"/>
      <c r="BL755" s="77"/>
      <c r="BM755" s="77"/>
      <c r="BN755" s="158"/>
      <c r="BO755" s="158"/>
    </row>
    <row r="756" spans="1:67" ht="15" x14ac:dyDescent="0.25">
      <c r="A756" s="71"/>
      <c r="B756" s="11"/>
      <c r="C756" s="11"/>
      <c r="D756" s="11"/>
      <c r="E756" s="11"/>
      <c r="F756" s="11"/>
      <c r="G756" s="11"/>
      <c r="H756" s="11"/>
      <c r="I756" s="11"/>
      <c r="J756" s="249"/>
      <c r="K756" s="72"/>
      <c r="L756" s="73"/>
      <c r="M756" s="73"/>
      <c r="N756" s="74"/>
      <c r="O756" s="75"/>
      <c r="P756" s="73"/>
      <c r="Q756" s="76"/>
      <c r="R756" s="76"/>
      <c r="S756" s="76"/>
      <c r="T756" s="76"/>
      <c r="U756" s="76"/>
      <c r="V756" s="76"/>
      <c r="W756" s="76"/>
      <c r="X756" s="76"/>
      <c r="Y756" s="76"/>
      <c r="Z756" s="77"/>
      <c r="AA756" s="77"/>
      <c r="AB756" s="77"/>
      <c r="AC756" s="77"/>
      <c r="AD756" s="77"/>
      <c r="AE756" s="77"/>
      <c r="AF756" s="77"/>
      <c r="AG756" s="77"/>
      <c r="AH756" s="78"/>
      <c r="AI756" s="78"/>
      <c r="AJ756" s="78"/>
      <c r="AK756" s="78"/>
      <c r="AL756" s="78"/>
      <c r="AM756" s="78"/>
      <c r="AN756" s="76"/>
      <c r="AO756" s="76"/>
      <c r="AP756" s="76"/>
      <c r="AQ756" s="76"/>
      <c r="AR756" s="76"/>
      <c r="AS756" s="76"/>
      <c r="AT756" s="76"/>
      <c r="AU756" s="76"/>
      <c r="AV756" s="76"/>
      <c r="AW756" s="79"/>
      <c r="AX756" s="79"/>
      <c r="AY756" s="79"/>
      <c r="AZ756" s="79"/>
      <c r="BA756" s="79"/>
      <c r="BB756" s="11"/>
      <c r="BC756" s="11"/>
      <c r="BD756" s="11"/>
      <c r="BE756" s="73"/>
      <c r="BF756" s="73"/>
      <c r="BG756" s="73"/>
      <c r="BH756" s="77"/>
      <c r="BI756" s="77"/>
      <c r="BJ756" s="77"/>
      <c r="BK756" s="77"/>
      <c r="BL756" s="77"/>
      <c r="BM756" s="77"/>
      <c r="BN756" s="158"/>
      <c r="BO756" s="158"/>
    </row>
    <row r="757" spans="1:67" ht="15" x14ac:dyDescent="0.25">
      <c r="A757" s="71"/>
      <c r="B757" s="11"/>
      <c r="C757" s="11"/>
      <c r="D757" s="11"/>
      <c r="E757" s="11"/>
      <c r="F757" s="11"/>
      <c r="G757" s="11"/>
      <c r="H757" s="11"/>
      <c r="I757" s="11"/>
      <c r="J757" s="249"/>
      <c r="K757" s="72"/>
      <c r="L757" s="73"/>
      <c r="M757" s="73"/>
      <c r="N757" s="74"/>
      <c r="O757" s="75"/>
      <c r="P757" s="73"/>
      <c r="Q757" s="76"/>
      <c r="R757" s="76"/>
      <c r="S757" s="76"/>
      <c r="T757" s="76"/>
      <c r="U757" s="76"/>
      <c r="V757" s="76"/>
      <c r="W757" s="76"/>
      <c r="X757" s="76"/>
      <c r="Y757" s="76"/>
      <c r="Z757" s="77"/>
      <c r="AA757" s="77"/>
      <c r="AB757" s="77"/>
      <c r="AC757" s="77"/>
      <c r="AD757" s="77"/>
      <c r="AE757" s="77"/>
      <c r="AF757" s="77"/>
      <c r="AG757" s="77"/>
      <c r="AH757" s="78"/>
      <c r="AI757" s="78"/>
      <c r="AJ757" s="78"/>
      <c r="AK757" s="78"/>
      <c r="AL757" s="78"/>
      <c r="AM757" s="78"/>
      <c r="AN757" s="76"/>
      <c r="AO757" s="76"/>
      <c r="AP757" s="76"/>
      <c r="AQ757" s="76"/>
      <c r="AR757" s="76"/>
      <c r="AS757" s="76"/>
      <c r="AT757" s="76"/>
      <c r="AU757" s="76"/>
      <c r="AV757" s="76"/>
      <c r="AW757" s="79"/>
      <c r="AX757" s="79"/>
      <c r="AY757" s="79"/>
      <c r="AZ757" s="79"/>
      <c r="BA757" s="79"/>
      <c r="BB757" s="11"/>
      <c r="BC757" s="11"/>
      <c r="BD757" s="11"/>
      <c r="BE757" s="73"/>
      <c r="BF757" s="73"/>
      <c r="BG757" s="73"/>
      <c r="BH757" s="77"/>
      <c r="BI757" s="77"/>
      <c r="BJ757" s="77"/>
      <c r="BK757" s="77"/>
      <c r="BL757" s="77"/>
      <c r="BM757" s="77"/>
      <c r="BN757" s="158"/>
      <c r="BO757" s="158"/>
    </row>
    <row r="758" spans="1:67" ht="15" x14ac:dyDescent="0.25">
      <c r="A758" s="71"/>
      <c r="B758" s="11"/>
      <c r="C758" s="11"/>
      <c r="D758" s="11"/>
      <c r="E758" s="11"/>
      <c r="F758" s="11"/>
      <c r="G758" s="11"/>
      <c r="H758" s="11"/>
      <c r="I758" s="11"/>
      <c r="J758" s="249"/>
      <c r="K758" s="72"/>
      <c r="L758" s="73"/>
      <c r="M758" s="73"/>
      <c r="N758" s="74"/>
      <c r="O758" s="75"/>
      <c r="P758" s="73"/>
      <c r="Q758" s="76"/>
      <c r="R758" s="76"/>
      <c r="S758" s="76"/>
      <c r="T758" s="76"/>
      <c r="U758" s="76"/>
      <c r="V758" s="76"/>
      <c r="W758" s="76"/>
      <c r="X758" s="76"/>
      <c r="Y758" s="76"/>
      <c r="Z758" s="77"/>
      <c r="AA758" s="77"/>
      <c r="AB758" s="77"/>
      <c r="AC758" s="77"/>
      <c r="AD758" s="77"/>
      <c r="AE758" s="77"/>
      <c r="AF758" s="77"/>
      <c r="AG758" s="77"/>
      <c r="AH758" s="78"/>
      <c r="AI758" s="78"/>
      <c r="AJ758" s="78"/>
      <c r="AK758" s="78"/>
      <c r="AL758" s="78"/>
      <c r="AM758" s="78"/>
      <c r="AN758" s="76"/>
      <c r="AO758" s="76"/>
      <c r="AP758" s="76"/>
      <c r="AQ758" s="76"/>
      <c r="AR758" s="76"/>
      <c r="AS758" s="76"/>
      <c r="AT758" s="76"/>
      <c r="AU758" s="76"/>
      <c r="AV758" s="76"/>
      <c r="AW758" s="79"/>
      <c r="AX758" s="79"/>
      <c r="AY758" s="79"/>
      <c r="AZ758" s="79"/>
      <c r="BA758" s="79"/>
      <c r="BB758" s="11"/>
      <c r="BC758" s="11"/>
      <c r="BD758" s="11"/>
      <c r="BE758" s="73"/>
      <c r="BF758" s="73"/>
      <c r="BG758" s="73"/>
      <c r="BH758" s="77"/>
      <c r="BI758" s="77"/>
      <c r="BJ758" s="77"/>
      <c r="BK758" s="77"/>
      <c r="BL758" s="77"/>
      <c r="BM758" s="77"/>
      <c r="BN758" s="158"/>
      <c r="BO758" s="158"/>
    </row>
    <row r="759" spans="1:67" ht="15" x14ac:dyDescent="0.25">
      <c r="A759" s="71"/>
      <c r="B759" s="11"/>
      <c r="C759" s="11"/>
      <c r="D759" s="11"/>
      <c r="E759" s="11"/>
      <c r="F759" s="11"/>
      <c r="G759" s="11"/>
      <c r="H759" s="11"/>
      <c r="I759" s="11"/>
      <c r="J759" s="249"/>
      <c r="K759" s="72"/>
      <c r="L759" s="73"/>
      <c r="M759" s="73"/>
      <c r="N759" s="74"/>
      <c r="O759" s="75"/>
      <c r="P759" s="73"/>
      <c r="Q759" s="76"/>
      <c r="R759" s="76"/>
      <c r="S759" s="76"/>
      <c r="T759" s="76"/>
      <c r="U759" s="76"/>
      <c r="V759" s="76"/>
      <c r="W759" s="76"/>
      <c r="X759" s="76"/>
      <c r="Y759" s="76"/>
      <c r="Z759" s="77"/>
      <c r="AA759" s="77"/>
      <c r="AB759" s="77"/>
      <c r="AC759" s="77"/>
      <c r="AD759" s="77"/>
      <c r="AE759" s="77"/>
      <c r="AF759" s="77"/>
      <c r="AG759" s="77"/>
      <c r="AH759" s="78"/>
      <c r="AI759" s="78"/>
      <c r="AJ759" s="78"/>
      <c r="AK759" s="78"/>
      <c r="AL759" s="78"/>
      <c r="AM759" s="78"/>
      <c r="AN759" s="76"/>
      <c r="AO759" s="76"/>
      <c r="AP759" s="76"/>
      <c r="AQ759" s="76"/>
      <c r="AR759" s="76"/>
      <c r="AS759" s="76"/>
      <c r="AT759" s="76"/>
      <c r="AU759" s="76"/>
      <c r="AV759" s="76"/>
      <c r="AW759" s="79"/>
      <c r="AX759" s="79"/>
      <c r="AY759" s="79"/>
      <c r="AZ759" s="79"/>
      <c r="BA759" s="79"/>
      <c r="BB759" s="11"/>
      <c r="BC759" s="11"/>
      <c r="BD759" s="11"/>
      <c r="BE759" s="73"/>
      <c r="BF759" s="73"/>
      <c r="BG759" s="73"/>
      <c r="BH759" s="77"/>
      <c r="BI759" s="77"/>
      <c r="BJ759" s="77"/>
      <c r="BK759" s="77"/>
      <c r="BL759" s="77"/>
      <c r="BM759" s="77"/>
      <c r="BN759" s="158"/>
      <c r="BO759" s="158"/>
    </row>
    <row r="760" spans="1:67" ht="15" x14ac:dyDescent="0.25">
      <c r="A760" s="71"/>
      <c r="B760" s="11"/>
      <c r="C760" s="11"/>
      <c r="D760" s="11"/>
      <c r="E760" s="11"/>
      <c r="F760" s="11"/>
      <c r="G760" s="11"/>
      <c r="H760" s="11"/>
      <c r="I760" s="11"/>
      <c r="J760" s="249"/>
      <c r="K760" s="72"/>
      <c r="L760" s="73"/>
      <c r="M760" s="73"/>
      <c r="N760" s="74"/>
      <c r="O760" s="75"/>
      <c r="P760" s="73"/>
      <c r="Q760" s="76"/>
      <c r="R760" s="76"/>
      <c r="S760" s="76"/>
      <c r="T760" s="76"/>
      <c r="U760" s="76"/>
      <c r="V760" s="76"/>
      <c r="W760" s="76"/>
      <c r="X760" s="76"/>
      <c r="Y760" s="76"/>
      <c r="Z760" s="77"/>
      <c r="AA760" s="77"/>
      <c r="AB760" s="77"/>
      <c r="AC760" s="77"/>
      <c r="AD760" s="77"/>
      <c r="AE760" s="77"/>
      <c r="AF760" s="77"/>
      <c r="AG760" s="77"/>
      <c r="AH760" s="78"/>
      <c r="AI760" s="78"/>
      <c r="AJ760" s="78"/>
      <c r="AK760" s="78"/>
      <c r="AL760" s="78"/>
      <c r="AM760" s="78"/>
      <c r="AN760" s="76"/>
      <c r="AO760" s="76"/>
      <c r="AP760" s="76"/>
      <c r="AQ760" s="76"/>
      <c r="AR760" s="76"/>
      <c r="AS760" s="76"/>
      <c r="AT760" s="76"/>
      <c r="AU760" s="76"/>
      <c r="AV760" s="76"/>
      <c r="AW760" s="79"/>
      <c r="AX760" s="79"/>
      <c r="AY760" s="79"/>
      <c r="AZ760" s="79"/>
      <c r="BA760" s="79"/>
      <c r="BB760" s="11"/>
      <c r="BC760" s="11"/>
      <c r="BD760" s="11"/>
      <c r="BE760" s="73"/>
      <c r="BF760" s="73"/>
      <c r="BG760" s="73"/>
      <c r="BH760" s="77"/>
      <c r="BI760" s="77"/>
      <c r="BJ760" s="77"/>
      <c r="BK760" s="77"/>
      <c r="BL760" s="77"/>
      <c r="BM760" s="77"/>
      <c r="BN760" s="158"/>
      <c r="BO760" s="158"/>
    </row>
    <row r="761" spans="1:67" ht="15" x14ac:dyDescent="0.25">
      <c r="A761" s="71"/>
      <c r="B761" s="11"/>
      <c r="C761" s="11"/>
      <c r="D761" s="11"/>
      <c r="E761" s="11"/>
      <c r="F761" s="11"/>
      <c r="G761" s="11"/>
      <c r="H761" s="11"/>
      <c r="I761" s="11"/>
      <c r="J761" s="249"/>
      <c r="K761" s="72"/>
      <c r="L761" s="73"/>
      <c r="M761" s="73"/>
      <c r="N761" s="74"/>
      <c r="O761" s="75"/>
      <c r="P761" s="73"/>
      <c r="Q761" s="76"/>
      <c r="R761" s="76"/>
      <c r="S761" s="76"/>
      <c r="T761" s="76"/>
      <c r="U761" s="76"/>
      <c r="V761" s="76"/>
      <c r="W761" s="76"/>
      <c r="X761" s="76"/>
      <c r="Y761" s="76"/>
      <c r="Z761" s="77"/>
      <c r="AA761" s="77"/>
      <c r="AB761" s="77"/>
      <c r="AC761" s="77"/>
      <c r="AD761" s="77"/>
      <c r="AE761" s="77"/>
      <c r="AF761" s="77"/>
      <c r="AG761" s="77"/>
      <c r="AH761" s="78"/>
      <c r="AI761" s="78"/>
      <c r="AJ761" s="78"/>
      <c r="AK761" s="78"/>
      <c r="AL761" s="78"/>
      <c r="AM761" s="78"/>
      <c r="AN761" s="76"/>
      <c r="AO761" s="76"/>
      <c r="AP761" s="76"/>
      <c r="AQ761" s="76"/>
      <c r="AR761" s="76"/>
      <c r="AS761" s="76"/>
      <c r="AT761" s="76"/>
      <c r="AU761" s="76"/>
      <c r="AV761" s="76"/>
      <c r="AW761" s="79"/>
      <c r="AX761" s="79"/>
      <c r="AY761" s="79"/>
      <c r="AZ761" s="79"/>
      <c r="BA761" s="79"/>
      <c r="BB761" s="11"/>
      <c r="BC761" s="11"/>
      <c r="BD761" s="11"/>
      <c r="BE761" s="73"/>
      <c r="BF761" s="73"/>
      <c r="BG761" s="73"/>
      <c r="BH761" s="77"/>
      <c r="BI761" s="77"/>
      <c r="BJ761" s="77"/>
      <c r="BK761" s="77"/>
      <c r="BL761" s="77"/>
      <c r="BM761" s="77"/>
      <c r="BN761" s="158"/>
      <c r="BO761" s="158"/>
    </row>
    <row r="762" spans="1:67" ht="15" x14ac:dyDescent="0.25">
      <c r="A762" s="71"/>
      <c r="B762" s="11"/>
      <c r="C762" s="11"/>
      <c r="D762" s="11"/>
      <c r="E762" s="11"/>
      <c r="F762" s="11"/>
      <c r="G762" s="11"/>
      <c r="H762" s="11"/>
      <c r="I762" s="11"/>
      <c r="J762" s="249"/>
      <c r="K762" s="72"/>
      <c r="L762" s="73"/>
      <c r="M762" s="73"/>
      <c r="N762" s="74"/>
      <c r="O762" s="75"/>
      <c r="P762" s="73"/>
      <c r="Q762" s="76"/>
      <c r="R762" s="76"/>
      <c r="S762" s="76"/>
      <c r="T762" s="76"/>
      <c r="U762" s="76"/>
      <c r="V762" s="76"/>
      <c r="W762" s="76"/>
      <c r="X762" s="76"/>
      <c r="Y762" s="76"/>
      <c r="Z762" s="77"/>
      <c r="AA762" s="77"/>
      <c r="AB762" s="77"/>
      <c r="AC762" s="77"/>
      <c r="AD762" s="77"/>
      <c r="AE762" s="77"/>
      <c r="AF762" s="77"/>
      <c r="AG762" s="77"/>
      <c r="AH762" s="78"/>
      <c r="AI762" s="78"/>
      <c r="AJ762" s="78"/>
      <c r="AK762" s="78"/>
      <c r="AL762" s="78"/>
      <c r="AM762" s="78"/>
      <c r="AN762" s="76"/>
      <c r="AO762" s="76"/>
      <c r="AP762" s="76"/>
      <c r="AQ762" s="76"/>
      <c r="AR762" s="76"/>
      <c r="AS762" s="76"/>
      <c r="AT762" s="76"/>
      <c r="AU762" s="76"/>
      <c r="AV762" s="76"/>
      <c r="AW762" s="79"/>
      <c r="AX762" s="79"/>
      <c r="AY762" s="79"/>
      <c r="AZ762" s="79"/>
      <c r="BA762" s="79"/>
      <c r="BB762" s="11"/>
      <c r="BC762" s="11"/>
      <c r="BD762" s="11"/>
      <c r="BE762" s="73"/>
      <c r="BF762" s="73"/>
      <c r="BG762" s="73"/>
      <c r="BH762" s="77"/>
      <c r="BI762" s="77"/>
      <c r="BJ762" s="77"/>
      <c r="BK762" s="77"/>
      <c r="BL762" s="77"/>
      <c r="BM762" s="77"/>
      <c r="BN762" s="158"/>
      <c r="BO762" s="158"/>
    </row>
    <row r="763" spans="1:67" ht="15" x14ac:dyDescent="0.25">
      <c r="A763" s="71"/>
      <c r="B763" s="11"/>
      <c r="C763" s="11"/>
      <c r="D763" s="11"/>
      <c r="E763" s="11"/>
      <c r="F763" s="11"/>
      <c r="G763" s="11"/>
      <c r="H763" s="11"/>
      <c r="I763" s="11"/>
      <c r="J763" s="249"/>
      <c r="K763" s="72"/>
      <c r="L763" s="73"/>
      <c r="M763" s="73"/>
      <c r="N763" s="74"/>
      <c r="O763" s="75"/>
      <c r="P763" s="73"/>
      <c r="Q763" s="76"/>
      <c r="R763" s="76"/>
      <c r="S763" s="76"/>
      <c r="T763" s="76"/>
      <c r="U763" s="76"/>
      <c r="V763" s="76"/>
      <c r="W763" s="76"/>
      <c r="X763" s="76"/>
      <c r="Y763" s="76"/>
      <c r="Z763" s="77"/>
      <c r="AA763" s="77"/>
      <c r="AB763" s="77"/>
      <c r="AC763" s="77"/>
      <c r="AD763" s="77"/>
      <c r="AE763" s="77"/>
      <c r="AF763" s="77"/>
      <c r="AG763" s="77"/>
      <c r="AH763" s="78"/>
      <c r="AI763" s="78"/>
      <c r="AJ763" s="78"/>
      <c r="AK763" s="78"/>
      <c r="AL763" s="78"/>
      <c r="AM763" s="78"/>
      <c r="AN763" s="76"/>
      <c r="AO763" s="76"/>
      <c r="AP763" s="76"/>
      <c r="AQ763" s="76"/>
      <c r="AR763" s="76"/>
      <c r="AS763" s="76"/>
      <c r="AT763" s="76"/>
      <c r="AU763" s="76"/>
      <c r="AV763" s="76"/>
      <c r="AW763" s="79"/>
      <c r="AX763" s="79"/>
      <c r="AY763" s="79"/>
      <c r="AZ763" s="79"/>
      <c r="BA763" s="79"/>
      <c r="BB763" s="11"/>
      <c r="BC763" s="11"/>
      <c r="BD763" s="11"/>
      <c r="BE763" s="73"/>
      <c r="BF763" s="73"/>
      <c r="BG763" s="73"/>
      <c r="BH763" s="77"/>
      <c r="BI763" s="77"/>
      <c r="BJ763" s="77"/>
      <c r="BK763" s="77"/>
      <c r="BL763" s="77"/>
      <c r="BM763" s="77"/>
      <c r="BN763" s="158"/>
      <c r="BO763" s="158"/>
    </row>
    <row r="764" spans="1:67" ht="15" x14ac:dyDescent="0.25">
      <c r="A764" s="71"/>
      <c r="B764" s="11"/>
      <c r="C764" s="11"/>
      <c r="D764" s="11"/>
      <c r="E764" s="11"/>
      <c r="F764" s="11"/>
      <c r="G764" s="11"/>
      <c r="H764" s="11"/>
      <c r="I764" s="11"/>
      <c r="J764" s="249"/>
      <c r="K764" s="72"/>
      <c r="L764" s="73"/>
      <c r="M764" s="73"/>
      <c r="N764" s="74"/>
      <c r="O764" s="75"/>
      <c r="P764" s="73"/>
      <c r="Q764" s="76"/>
      <c r="R764" s="76"/>
      <c r="S764" s="76"/>
      <c r="T764" s="76"/>
      <c r="U764" s="76"/>
      <c r="V764" s="76"/>
      <c r="W764" s="76"/>
      <c r="X764" s="76"/>
      <c r="Y764" s="76"/>
      <c r="Z764" s="77"/>
      <c r="AA764" s="77"/>
      <c r="AB764" s="77"/>
      <c r="AC764" s="77"/>
      <c r="AD764" s="77"/>
      <c r="AE764" s="77"/>
      <c r="AF764" s="77"/>
      <c r="AG764" s="77"/>
      <c r="AH764" s="78"/>
      <c r="AI764" s="78"/>
      <c r="AJ764" s="78"/>
      <c r="AK764" s="78"/>
      <c r="AL764" s="78"/>
      <c r="AM764" s="78"/>
      <c r="AN764" s="76"/>
      <c r="AO764" s="76"/>
      <c r="AP764" s="76"/>
      <c r="AQ764" s="76"/>
      <c r="AR764" s="76"/>
      <c r="AS764" s="76"/>
      <c r="AT764" s="76"/>
      <c r="AU764" s="76"/>
      <c r="AV764" s="76"/>
      <c r="AW764" s="79"/>
      <c r="AX764" s="79"/>
      <c r="AY764" s="79"/>
      <c r="AZ764" s="79"/>
      <c r="BA764" s="79"/>
      <c r="BB764" s="11"/>
      <c r="BC764" s="11"/>
      <c r="BD764" s="11"/>
      <c r="BE764" s="73"/>
      <c r="BF764" s="73"/>
      <c r="BG764" s="73"/>
      <c r="BH764" s="77"/>
      <c r="BI764" s="77"/>
      <c r="BJ764" s="77"/>
      <c r="BK764" s="77"/>
      <c r="BL764" s="77"/>
      <c r="BM764" s="77"/>
      <c r="BN764" s="158"/>
      <c r="BO764" s="158"/>
    </row>
    <row r="765" spans="1:67" ht="15" x14ac:dyDescent="0.25">
      <c r="A765" s="71"/>
      <c r="B765" s="11"/>
      <c r="C765" s="11"/>
      <c r="D765" s="11"/>
      <c r="E765" s="11"/>
      <c r="F765" s="11"/>
      <c r="G765" s="11"/>
      <c r="H765" s="11"/>
      <c r="I765" s="11"/>
      <c r="J765" s="249"/>
      <c r="K765" s="72"/>
      <c r="L765" s="73"/>
      <c r="M765" s="73"/>
      <c r="N765" s="74"/>
      <c r="O765" s="75"/>
      <c r="P765" s="73"/>
      <c r="Q765" s="76"/>
      <c r="R765" s="76"/>
      <c r="S765" s="76"/>
      <c r="T765" s="76"/>
      <c r="U765" s="76"/>
      <c r="V765" s="76"/>
      <c r="W765" s="76"/>
      <c r="X765" s="76"/>
      <c r="Y765" s="76"/>
      <c r="Z765" s="77"/>
      <c r="AA765" s="77"/>
      <c r="AB765" s="77"/>
      <c r="AC765" s="77"/>
      <c r="AD765" s="77"/>
      <c r="AE765" s="77"/>
      <c r="AF765" s="77"/>
      <c r="AG765" s="77"/>
      <c r="AH765" s="78"/>
      <c r="AI765" s="78"/>
      <c r="AJ765" s="78"/>
      <c r="AK765" s="78"/>
      <c r="AL765" s="78"/>
      <c r="AM765" s="78"/>
      <c r="AN765" s="76"/>
      <c r="AO765" s="76"/>
      <c r="AP765" s="76"/>
      <c r="AQ765" s="76"/>
      <c r="AR765" s="76"/>
      <c r="AS765" s="76"/>
      <c r="AT765" s="76"/>
      <c r="AU765" s="76"/>
      <c r="AV765" s="76"/>
      <c r="AW765" s="79"/>
      <c r="AX765" s="79"/>
      <c r="AY765" s="79"/>
      <c r="AZ765" s="79"/>
      <c r="BA765" s="79"/>
      <c r="BB765" s="11"/>
      <c r="BC765" s="11"/>
      <c r="BD765" s="11"/>
      <c r="BE765" s="73"/>
      <c r="BF765" s="73"/>
      <c r="BG765" s="73"/>
      <c r="BH765" s="77"/>
      <c r="BI765" s="77"/>
      <c r="BJ765" s="77"/>
      <c r="BK765" s="77"/>
      <c r="BL765" s="77"/>
      <c r="BM765" s="77"/>
      <c r="BN765" s="158"/>
      <c r="BO765" s="158"/>
    </row>
    <row r="766" spans="1:67" ht="15" x14ac:dyDescent="0.25">
      <c r="A766" s="71"/>
      <c r="B766" s="11"/>
      <c r="C766" s="11"/>
      <c r="D766" s="11"/>
      <c r="E766" s="11"/>
      <c r="F766" s="11"/>
      <c r="G766" s="11"/>
      <c r="H766" s="11"/>
      <c r="I766" s="11"/>
      <c r="J766" s="249"/>
      <c r="K766" s="72"/>
      <c r="L766" s="73"/>
      <c r="M766" s="73"/>
      <c r="N766" s="74"/>
      <c r="O766" s="75"/>
      <c r="P766" s="73"/>
      <c r="Q766" s="76"/>
      <c r="R766" s="76"/>
      <c r="S766" s="76"/>
      <c r="T766" s="76"/>
      <c r="U766" s="76"/>
      <c r="V766" s="76"/>
      <c r="W766" s="76"/>
      <c r="X766" s="76"/>
      <c r="Y766" s="76"/>
      <c r="Z766" s="77"/>
      <c r="AA766" s="77"/>
      <c r="AB766" s="77"/>
      <c r="AC766" s="77"/>
      <c r="AD766" s="77"/>
      <c r="AE766" s="77"/>
      <c r="AF766" s="77"/>
      <c r="AG766" s="77"/>
      <c r="AH766" s="78"/>
      <c r="AI766" s="78"/>
      <c r="AJ766" s="78"/>
      <c r="AK766" s="78"/>
      <c r="AL766" s="78"/>
      <c r="AM766" s="78"/>
      <c r="AN766" s="76"/>
      <c r="AO766" s="76"/>
      <c r="AP766" s="76"/>
      <c r="AQ766" s="76"/>
      <c r="AR766" s="76"/>
      <c r="AS766" s="76"/>
      <c r="AT766" s="76"/>
      <c r="AU766" s="76"/>
      <c r="AV766" s="76"/>
      <c r="AW766" s="79"/>
      <c r="AX766" s="79"/>
      <c r="AY766" s="79"/>
      <c r="AZ766" s="79"/>
      <c r="BA766" s="79"/>
      <c r="BB766" s="11"/>
      <c r="BC766" s="11"/>
      <c r="BD766" s="11"/>
      <c r="BE766" s="73"/>
      <c r="BF766" s="73"/>
      <c r="BG766" s="73"/>
      <c r="BH766" s="77"/>
      <c r="BI766" s="77"/>
      <c r="BJ766" s="77"/>
      <c r="BK766" s="77"/>
      <c r="BL766" s="77"/>
      <c r="BM766" s="77"/>
      <c r="BN766" s="158"/>
      <c r="BO766" s="158"/>
    </row>
    <row r="767" spans="1:67" ht="15" x14ac:dyDescent="0.25">
      <c r="A767" s="71"/>
      <c r="B767" s="11"/>
      <c r="C767" s="11"/>
      <c r="D767" s="11"/>
      <c r="E767" s="11"/>
      <c r="F767" s="11"/>
      <c r="G767" s="11"/>
      <c r="H767" s="11"/>
      <c r="I767" s="11"/>
      <c r="J767" s="249"/>
      <c r="K767" s="72"/>
      <c r="L767" s="73"/>
      <c r="M767" s="73"/>
      <c r="N767" s="74"/>
      <c r="O767" s="75"/>
      <c r="P767" s="73"/>
      <c r="Q767" s="76"/>
      <c r="R767" s="76"/>
      <c r="S767" s="76"/>
      <c r="T767" s="76"/>
      <c r="U767" s="76"/>
      <c r="V767" s="76"/>
      <c r="W767" s="76"/>
      <c r="X767" s="76"/>
      <c r="Y767" s="76"/>
      <c r="Z767" s="77"/>
      <c r="AA767" s="77"/>
      <c r="AB767" s="77"/>
      <c r="AC767" s="77"/>
      <c r="AD767" s="77"/>
      <c r="AE767" s="77"/>
      <c r="AF767" s="77"/>
      <c r="AG767" s="77"/>
      <c r="AH767" s="78"/>
      <c r="AI767" s="78"/>
      <c r="AJ767" s="78"/>
      <c r="AK767" s="78"/>
      <c r="AL767" s="78"/>
      <c r="AM767" s="78"/>
      <c r="AN767" s="76"/>
      <c r="AO767" s="76"/>
      <c r="AP767" s="76"/>
      <c r="AQ767" s="76"/>
      <c r="AR767" s="76"/>
      <c r="AS767" s="76"/>
      <c r="AT767" s="76"/>
      <c r="AU767" s="76"/>
      <c r="AV767" s="76"/>
      <c r="AW767" s="79"/>
      <c r="AX767" s="79"/>
      <c r="AY767" s="79"/>
      <c r="AZ767" s="79"/>
      <c r="BA767" s="79"/>
      <c r="BB767" s="11"/>
      <c r="BC767" s="11"/>
      <c r="BD767" s="11"/>
      <c r="BE767" s="73"/>
      <c r="BF767" s="73"/>
      <c r="BG767" s="73"/>
      <c r="BH767" s="77"/>
      <c r="BI767" s="77"/>
      <c r="BJ767" s="77"/>
      <c r="BK767" s="77"/>
      <c r="BL767" s="77"/>
      <c r="BM767" s="77"/>
      <c r="BN767" s="158"/>
      <c r="BO767" s="158"/>
    </row>
    <row r="768" spans="1:67" ht="15" x14ac:dyDescent="0.25">
      <c r="A768" s="71"/>
      <c r="B768" s="11"/>
      <c r="C768" s="11"/>
      <c r="D768" s="11"/>
      <c r="E768" s="11"/>
      <c r="F768" s="11"/>
      <c r="G768" s="11"/>
      <c r="H768" s="11"/>
      <c r="I768" s="11"/>
      <c r="J768" s="249"/>
      <c r="K768" s="72"/>
      <c r="L768" s="73"/>
      <c r="M768" s="73"/>
      <c r="N768" s="74"/>
      <c r="O768" s="75"/>
      <c r="P768" s="73"/>
      <c r="Q768" s="76"/>
      <c r="R768" s="76"/>
      <c r="S768" s="76"/>
      <c r="T768" s="76"/>
      <c r="U768" s="76"/>
      <c r="V768" s="76"/>
      <c r="W768" s="76"/>
      <c r="X768" s="76"/>
      <c r="Y768" s="76"/>
      <c r="Z768" s="77"/>
      <c r="AA768" s="77"/>
      <c r="AB768" s="77"/>
      <c r="AC768" s="77"/>
      <c r="AD768" s="77"/>
      <c r="AE768" s="77"/>
      <c r="AF768" s="77"/>
      <c r="AG768" s="77"/>
      <c r="AH768" s="78"/>
      <c r="AI768" s="78"/>
      <c r="AJ768" s="78"/>
      <c r="AK768" s="78"/>
      <c r="AL768" s="78"/>
      <c r="AM768" s="78"/>
      <c r="AN768" s="76"/>
      <c r="AO768" s="76"/>
      <c r="AP768" s="76"/>
      <c r="AQ768" s="76"/>
      <c r="AR768" s="76"/>
      <c r="AS768" s="76"/>
      <c r="AT768" s="76"/>
      <c r="AU768" s="76"/>
      <c r="AV768" s="76"/>
      <c r="AW768" s="79"/>
      <c r="AX768" s="79"/>
      <c r="AY768" s="79"/>
      <c r="AZ768" s="79"/>
      <c r="BA768" s="79"/>
      <c r="BB768" s="11"/>
      <c r="BC768" s="11"/>
      <c r="BD768" s="11"/>
      <c r="BE768" s="73"/>
      <c r="BF768" s="73"/>
      <c r="BG768" s="73"/>
      <c r="BH768" s="77"/>
      <c r="BI768" s="77"/>
      <c r="BJ768" s="77"/>
      <c r="BK768" s="77"/>
      <c r="BL768" s="77"/>
      <c r="BM768" s="77"/>
      <c r="BN768" s="158"/>
      <c r="BO768" s="158"/>
    </row>
    <row r="769" spans="1:67" ht="15" x14ac:dyDescent="0.25">
      <c r="A769" s="71"/>
      <c r="B769" s="11"/>
      <c r="C769" s="11"/>
      <c r="D769" s="11"/>
      <c r="E769" s="11"/>
      <c r="F769" s="11"/>
      <c r="G769" s="11"/>
      <c r="H769" s="11"/>
      <c r="I769" s="11"/>
      <c r="J769" s="249"/>
      <c r="K769" s="72"/>
      <c r="L769" s="73"/>
      <c r="M769" s="73"/>
      <c r="N769" s="74"/>
      <c r="O769" s="75"/>
      <c r="P769" s="73"/>
      <c r="Q769" s="76"/>
      <c r="R769" s="76"/>
      <c r="S769" s="76"/>
      <c r="T769" s="76"/>
      <c r="U769" s="76"/>
      <c r="V769" s="76"/>
      <c r="W769" s="76"/>
      <c r="X769" s="76"/>
      <c r="Y769" s="76"/>
      <c r="Z769" s="77"/>
      <c r="AA769" s="77"/>
      <c r="AB769" s="77"/>
      <c r="AC769" s="77"/>
      <c r="AD769" s="77"/>
      <c r="AE769" s="77"/>
      <c r="AF769" s="77"/>
      <c r="AG769" s="77"/>
      <c r="AH769" s="78"/>
      <c r="AI769" s="78"/>
      <c r="AJ769" s="78"/>
      <c r="AK769" s="78"/>
      <c r="AL769" s="78"/>
      <c r="AM769" s="78"/>
      <c r="AN769" s="76"/>
      <c r="AO769" s="76"/>
      <c r="AP769" s="76"/>
      <c r="AQ769" s="76"/>
      <c r="AR769" s="76"/>
      <c r="AS769" s="76"/>
      <c r="AT769" s="76"/>
      <c r="AU769" s="76"/>
      <c r="AV769" s="76"/>
      <c r="AW769" s="79"/>
      <c r="AX769" s="79"/>
      <c r="AY769" s="79"/>
      <c r="AZ769" s="79"/>
      <c r="BA769" s="79"/>
      <c r="BB769" s="11"/>
      <c r="BC769" s="11"/>
      <c r="BD769" s="11"/>
      <c r="BE769" s="73"/>
      <c r="BF769" s="73"/>
      <c r="BG769" s="73"/>
      <c r="BH769" s="77"/>
      <c r="BI769" s="77"/>
      <c r="BJ769" s="77"/>
      <c r="BK769" s="77"/>
      <c r="BL769" s="77"/>
      <c r="BM769" s="77"/>
      <c r="BN769" s="158"/>
      <c r="BO769" s="158"/>
    </row>
    <row r="770" spans="1:67" ht="15" x14ac:dyDescent="0.25">
      <c r="A770" s="71"/>
      <c r="B770" s="11"/>
      <c r="C770" s="11"/>
      <c r="D770" s="11"/>
      <c r="E770" s="11"/>
      <c r="F770" s="11"/>
      <c r="G770" s="11"/>
      <c r="H770" s="11"/>
      <c r="I770" s="11"/>
      <c r="J770" s="249"/>
      <c r="K770" s="72"/>
      <c r="L770" s="73"/>
      <c r="M770" s="73"/>
      <c r="N770" s="74"/>
      <c r="O770" s="75"/>
      <c r="P770" s="73"/>
      <c r="Q770" s="76"/>
      <c r="R770" s="76"/>
      <c r="S770" s="76"/>
      <c r="T770" s="76"/>
      <c r="U770" s="76"/>
      <c r="V770" s="76"/>
      <c r="W770" s="76"/>
      <c r="X770" s="76"/>
      <c r="Y770" s="76"/>
      <c r="Z770" s="77"/>
      <c r="AA770" s="77"/>
      <c r="AB770" s="77"/>
      <c r="AC770" s="77"/>
      <c r="AD770" s="77"/>
      <c r="AE770" s="77"/>
      <c r="AF770" s="77"/>
      <c r="AG770" s="77"/>
      <c r="AH770" s="78"/>
      <c r="AI770" s="78"/>
      <c r="AJ770" s="78"/>
      <c r="AK770" s="78"/>
      <c r="AL770" s="78"/>
      <c r="AM770" s="78"/>
      <c r="AN770" s="76"/>
      <c r="AO770" s="76"/>
      <c r="AP770" s="76"/>
      <c r="AQ770" s="76"/>
      <c r="AR770" s="76"/>
      <c r="AS770" s="76"/>
      <c r="AT770" s="76"/>
      <c r="AU770" s="76"/>
      <c r="AV770" s="76"/>
      <c r="AW770" s="79"/>
      <c r="AX770" s="79"/>
      <c r="AY770" s="79"/>
      <c r="AZ770" s="79"/>
      <c r="BA770" s="79"/>
      <c r="BB770" s="11"/>
      <c r="BC770" s="11"/>
      <c r="BD770" s="11"/>
      <c r="BE770" s="73"/>
      <c r="BF770" s="73"/>
      <c r="BG770" s="73"/>
      <c r="BH770" s="77"/>
      <c r="BI770" s="77"/>
      <c r="BJ770" s="77"/>
      <c r="BK770" s="77"/>
      <c r="BL770" s="77"/>
      <c r="BM770" s="77"/>
      <c r="BN770" s="158"/>
      <c r="BO770" s="158"/>
    </row>
    <row r="771" spans="1:67" ht="15" x14ac:dyDescent="0.25">
      <c r="A771" s="71"/>
      <c r="B771" s="11"/>
      <c r="C771" s="11"/>
      <c r="D771" s="11"/>
      <c r="E771" s="11"/>
      <c r="F771" s="11"/>
      <c r="G771" s="11"/>
      <c r="H771" s="11"/>
      <c r="I771" s="11"/>
      <c r="J771" s="249"/>
      <c r="K771" s="72"/>
      <c r="L771" s="73"/>
      <c r="M771" s="73"/>
      <c r="N771" s="74"/>
      <c r="O771" s="75"/>
      <c r="P771" s="73"/>
      <c r="Q771" s="76"/>
      <c r="R771" s="76"/>
      <c r="S771" s="76"/>
      <c r="T771" s="76"/>
      <c r="U771" s="76"/>
      <c r="V771" s="76"/>
      <c r="W771" s="76"/>
      <c r="X771" s="76"/>
      <c r="Y771" s="76"/>
      <c r="Z771" s="77"/>
      <c r="AA771" s="77"/>
      <c r="AB771" s="77"/>
      <c r="AC771" s="77"/>
      <c r="AD771" s="77"/>
      <c r="AE771" s="77"/>
      <c r="AF771" s="77"/>
      <c r="AG771" s="77"/>
      <c r="AH771" s="78"/>
      <c r="AI771" s="78"/>
      <c r="AJ771" s="78"/>
      <c r="AK771" s="78"/>
      <c r="AL771" s="78"/>
      <c r="AM771" s="78"/>
      <c r="AN771" s="76"/>
      <c r="AO771" s="76"/>
      <c r="AP771" s="76"/>
      <c r="AQ771" s="76"/>
      <c r="AR771" s="76"/>
      <c r="AS771" s="76"/>
      <c r="AT771" s="76"/>
      <c r="AU771" s="76"/>
      <c r="AV771" s="76"/>
      <c r="AW771" s="79"/>
      <c r="AX771" s="79"/>
      <c r="AY771" s="79"/>
      <c r="AZ771" s="79"/>
      <c r="BA771" s="79"/>
      <c r="BB771" s="11"/>
      <c r="BC771" s="11"/>
      <c r="BD771" s="11"/>
      <c r="BE771" s="73"/>
      <c r="BF771" s="73"/>
      <c r="BG771" s="73"/>
      <c r="BH771" s="77"/>
      <c r="BI771" s="77"/>
      <c r="BJ771" s="77"/>
      <c r="BK771" s="77"/>
      <c r="BL771" s="77"/>
      <c r="BM771" s="77"/>
      <c r="BN771" s="158"/>
      <c r="BO771" s="158"/>
    </row>
    <row r="772" spans="1:67" ht="15" x14ac:dyDescent="0.25">
      <c r="A772" s="71"/>
      <c r="B772" s="11"/>
      <c r="C772" s="11"/>
      <c r="D772" s="11"/>
      <c r="E772" s="11"/>
      <c r="F772" s="11"/>
      <c r="G772" s="11"/>
      <c r="H772" s="11"/>
      <c r="I772" s="11"/>
      <c r="J772" s="249"/>
      <c r="K772" s="72"/>
      <c r="L772" s="73"/>
      <c r="M772" s="73"/>
      <c r="N772" s="74"/>
      <c r="O772" s="75"/>
      <c r="P772" s="73"/>
      <c r="Q772" s="76"/>
      <c r="R772" s="76"/>
      <c r="S772" s="76"/>
      <c r="T772" s="76"/>
      <c r="U772" s="76"/>
      <c r="V772" s="76"/>
      <c r="W772" s="76"/>
      <c r="X772" s="76"/>
      <c r="Y772" s="76"/>
      <c r="Z772" s="77"/>
      <c r="AA772" s="77"/>
      <c r="AB772" s="77"/>
      <c r="AC772" s="77"/>
      <c r="AD772" s="77"/>
      <c r="AE772" s="77"/>
      <c r="AF772" s="77"/>
      <c r="AG772" s="77"/>
      <c r="AH772" s="78"/>
      <c r="AI772" s="78"/>
      <c r="AJ772" s="78"/>
      <c r="AK772" s="78"/>
      <c r="AL772" s="78"/>
      <c r="AM772" s="78"/>
      <c r="AN772" s="76"/>
      <c r="AO772" s="76"/>
      <c r="AP772" s="76"/>
      <c r="AQ772" s="76"/>
      <c r="AR772" s="76"/>
      <c r="AS772" s="76"/>
      <c r="AT772" s="76"/>
      <c r="AU772" s="76"/>
      <c r="AV772" s="76"/>
      <c r="AW772" s="79"/>
      <c r="AX772" s="79"/>
      <c r="AY772" s="79"/>
      <c r="AZ772" s="79"/>
      <c r="BA772" s="79"/>
      <c r="BB772" s="11"/>
      <c r="BC772" s="11"/>
      <c r="BD772" s="11"/>
      <c r="BE772" s="73"/>
      <c r="BF772" s="73"/>
      <c r="BG772" s="73"/>
      <c r="BH772" s="77"/>
      <c r="BI772" s="77"/>
      <c r="BJ772" s="77"/>
      <c r="BK772" s="77"/>
      <c r="BL772" s="77"/>
      <c r="BM772" s="77"/>
      <c r="BN772" s="158"/>
      <c r="BO772" s="158"/>
    </row>
    <row r="773" spans="1:67" ht="15" x14ac:dyDescent="0.25">
      <c r="A773" s="71"/>
      <c r="B773" s="11"/>
      <c r="C773" s="11"/>
      <c r="D773" s="11"/>
      <c r="E773" s="11"/>
      <c r="F773" s="11"/>
      <c r="G773" s="11"/>
      <c r="H773" s="11"/>
      <c r="I773" s="11"/>
      <c r="J773" s="249"/>
      <c r="K773" s="72"/>
      <c r="L773" s="73"/>
      <c r="M773" s="73"/>
      <c r="N773" s="74"/>
      <c r="O773" s="75"/>
      <c r="P773" s="73"/>
      <c r="Q773" s="76"/>
      <c r="R773" s="76"/>
      <c r="S773" s="76"/>
      <c r="T773" s="76"/>
      <c r="U773" s="76"/>
      <c r="V773" s="76"/>
      <c r="W773" s="76"/>
      <c r="X773" s="76"/>
      <c r="Y773" s="76"/>
      <c r="Z773" s="77"/>
      <c r="AA773" s="77"/>
      <c r="AB773" s="77"/>
      <c r="AC773" s="77"/>
      <c r="AD773" s="77"/>
      <c r="AE773" s="77"/>
      <c r="AF773" s="77"/>
      <c r="AG773" s="77"/>
      <c r="AH773" s="78"/>
      <c r="AI773" s="78"/>
      <c r="AJ773" s="78"/>
      <c r="AK773" s="78"/>
      <c r="AL773" s="78"/>
      <c r="AM773" s="78"/>
      <c r="AN773" s="76"/>
      <c r="AO773" s="76"/>
      <c r="AP773" s="76"/>
      <c r="AQ773" s="76"/>
      <c r="AR773" s="76"/>
      <c r="AS773" s="76"/>
      <c r="AT773" s="76"/>
      <c r="AU773" s="76"/>
      <c r="AV773" s="76"/>
      <c r="AW773" s="79"/>
      <c r="AX773" s="79"/>
      <c r="AY773" s="79"/>
      <c r="AZ773" s="79"/>
      <c r="BA773" s="79"/>
      <c r="BB773" s="11"/>
      <c r="BC773" s="11"/>
      <c r="BD773" s="11"/>
      <c r="BE773" s="73"/>
      <c r="BF773" s="73"/>
      <c r="BG773" s="73"/>
      <c r="BH773" s="77"/>
      <c r="BI773" s="77"/>
      <c r="BJ773" s="77"/>
      <c r="BK773" s="77"/>
      <c r="BL773" s="77"/>
      <c r="BM773" s="77"/>
      <c r="BN773" s="158"/>
      <c r="BO773" s="158"/>
    </row>
    <row r="774" spans="1:67" ht="15" x14ac:dyDescent="0.25">
      <c r="A774" s="71"/>
      <c r="B774" s="11"/>
      <c r="C774" s="11"/>
      <c r="D774" s="11"/>
      <c r="E774" s="11"/>
      <c r="F774" s="11"/>
      <c r="G774" s="11"/>
      <c r="H774" s="11"/>
      <c r="I774" s="11"/>
      <c r="J774" s="249"/>
      <c r="K774" s="72"/>
      <c r="L774" s="73"/>
      <c r="M774" s="73"/>
      <c r="N774" s="74"/>
      <c r="O774" s="75"/>
      <c r="P774" s="73"/>
      <c r="Q774" s="76"/>
      <c r="R774" s="76"/>
      <c r="S774" s="76"/>
      <c r="T774" s="76"/>
      <c r="U774" s="76"/>
      <c r="V774" s="76"/>
      <c r="W774" s="76"/>
      <c r="X774" s="76"/>
      <c r="Y774" s="76"/>
      <c r="Z774" s="77"/>
      <c r="AA774" s="77"/>
      <c r="AB774" s="77"/>
      <c r="AC774" s="77"/>
      <c r="AD774" s="77"/>
      <c r="AE774" s="77"/>
      <c r="AF774" s="77"/>
      <c r="AG774" s="77"/>
      <c r="AH774" s="78"/>
      <c r="AI774" s="78"/>
      <c r="AJ774" s="78"/>
      <c r="AK774" s="78"/>
      <c r="AL774" s="78"/>
      <c r="AM774" s="78"/>
      <c r="AN774" s="76"/>
      <c r="AO774" s="76"/>
      <c r="AP774" s="76"/>
      <c r="AQ774" s="76"/>
      <c r="AR774" s="76"/>
      <c r="AS774" s="76"/>
      <c r="AT774" s="76"/>
      <c r="AU774" s="76"/>
      <c r="AV774" s="76"/>
      <c r="AW774" s="79"/>
      <c r="AX774" s="79"/>
      <c r="AY774" s="79"/>
      <c r="AZ774" s="79"/>
      <c r="BA774" s="79"/>
      <c r="BB774" s="11"/>
      <c r="BC774" s="11"/>
      <c r="BD774" s="11"/>
      <c r="BE774" s="73"/>
      <c r="BF774" s="73"/>
      <c r="BG774" s="73"/>
      <c r="BH774" s="77"/>
      <c r="BI774" s="77"/>
      <c r="BJ774" s="77"/>
      <c r="BK774" s="77"/>
      <c r="BL774" s="77"/>
      <c r="BM774" s="77"/>
      <c r="BN774" s="158"/>
      <c r="BO774" s="158"/>
    </row>
    <row r="775" spans="1:67" ht="15" x14ac:dyDescent="0.25">
      <c r="A775" s="71"/>
      <c r="B775" s="11"/>
      <c r="C775" s="11"/>
      <c r="D775" s="11"/>
      <c r="E775" s="11"/>
      <c r="F775" s="11"/>
      <c r="G775" s="11"/>
      <c r="H775" s="11"/>
      <c r="I775" s="11"/>
      <c r="J775" s="249"/>
      <c r="K775" s="72"/>
      <c r="L775" s="73"/>
      <c r="M775" s="73"/>
      <c r="N775" s="74"/>
      <c r="O775" s="75"/>
      <c r="P775" s="73"/>
      <c r="Q775" s="76"/>
      <c r="R775" s="76"/>
      <c r="S775" s="76"/>
      <c r="T775" s="76"/>
      <c r="U775" s="76"/>
      <c r="V775" s="76"/>
      <c r="W775" s="76"/>
      <c r="X775" s="76"/>
      <c r="Y775" s="76"/>
      <c r="Z775" s="77"/>
      <c r="AA775" s="77"/>
      <c r="AB775" s="77"/>
      <c r="AC775" s="77"/>
      <c r="AD775" s="77"/>
      <c r="AE775" s="77"/>
      <c r="AF775" s="77"/>
      <c r="AG775" s="77"/>
      <c r="AH775" s="78"/>
      <c r="AI775" s="78"/>
      <c r="AJ775" s="78"/>
      <c r="AK775" s="78"/>
      <c r="AL775" s="78"/>
      <c r="AM775" s="78"/>
      <c r="AN775" s="76"/>
      <c r="AO775" s="76"/>
      <c r="AP775" s="76"/>
      <c r="AQ775" s="76"/>
      <c r="AR775" s="76"/>
      <c r="AS775" s="76"/>
      <c r="AT775" s="76"/>
      <c r="AU775" s="76"/>
      <c r="AV775" s="76"/>
      <c r="AW775" s="79"/>
      <c r="AX775" s="79"/>
      <c r="AY775" s="79"/>
      <c r="AZ775" s="79"/>
      <c r="BA775" s="79"/>
      <c r="BB775" s="11"/>
      <c r="BC775" s="11"/>
      <c r="BD775" s="11"/>
      <c r="BE775" s="73"/>
      <c r="BF775" s="73"/>
      <c r="BG775" s="73"/>
      <c r="BH775" s="77"/>
      <c r="BI775" s="77"/>
      <c r="BJ775" s="77"/>
      <c r="BK775" s="77"/>
      <c r="BL775" s="77"/>
      <c r="BM775" s="77"/>
      <c r="BN775" s="158"/>
      <c r="BO775" s="158"/>
    </row>
    <row r="776" spans="1:67" ht="15" x14ac:dyDescent="0.25">
      <c r="A776" s="71"/>
      <c r="B776" s="11"/>
      <c r="C776" s="11"/>
      <c r="D776" s="11"/>
      <c r="E776" s="11"/>
      <c r="F776" s="11"/>
      <c r="G776" s="11"/>
      <c r="H776" s="11"/>
      <c r="I776" s="11"/>
      <c r="J776" s="249"/>
      <c r="K776" s="72"/>
      <c r="L776" s="73"/>
      <c r="M776" s="73"/>
      <c r="N776" s="74"/>
      <c r="O776" s="75"/>
      <c r="P776" s="73"/>
      <c r="Q776" s="76"/>
      <c r="R776" s="76"/>
      <c r="S776" s="76"/>
      <c r="T776" s="76"/>
      <c r="U776" s="76"/>
      <c r="V776" s="76"/>
      <c r="W776" s="76"/>
      <c r="X776" s="76"/>
      <c r="Y776" s="76"/>
      <c r="Z776" s="77"/>
      <c r="AA776" s="77"/>
      <c r="AB776" s="77"/>
      <c r="AC776" s="77"/>
      <c r="AD776" s="77"/>
      <c r="AE776" s="77"/>
      <c r="AF776" s="77"/>
      <c r="AG776" s="77"/>
      <c r="AH776" s="78"/>
      <c r="AI776" s="78"/>
      <c r="AJ776" s="78"/>
      <c r="AK776" s="78"/>
      <c r="AL776" s="78"/>
      <c r="AM776" s="78"/>
      <c r="AN776" s="76"/>
      <c r="AO776" s="76"/>
      <c r="AP776" s="76"/>
      <c r="AQ776" s="76"/>
      <c r="AR776" s="76"/>
      <c r="AS776" s="76"/>
      <c r="AT776" s="76"/>
      <c r="AU776" s="76"/>
      <c r="AV776" s="76"/>
      <c r="AW776" s="79"/>
      <c r="AX776" s="79"/>
      <c r="AY776" s="79"/>
      <c r="AZ776" s="79"/>
      <c r="BA776" s="79"/>
      <c r="BB776" s="11"/>
      <c r="BC776" s="11"/>
      <c r="BD776" s="11"/>
      <c r="BE776" s="73"/>
      <c r="BF776" s="73"/>
      <c r="BG776" s="73"/>
      <c r="BH776" s="77"/>
      <c r="BI776" s="77"/>
      <c r="BJ776" s="77"/>
      <c r="BK776" s="77"/>
      <c r="BL776" s="77"/>
      <c r="BM776" s="77"/>
      <c r="BN776" s="158"/>
      <c r="BO776" s="158"/>
    </row>
    <row r="777" spans="1:67" ht="15" x14ac:dyDescent="0.25">
      <c r="A777" s="71"/>
      <c r="B777" s="11"/>
      <c r="C777" s="11"/>
      <c r="D777" s="11"/>
      <c r="E777" s="11"/>
      <c r="F777" s="11"/>
      <c r="G777" s="11"/>
      <c r="H777" s="11"/>
      <c r="I777" s="11"/>
      <c r="J777" s="249"/>
      <c r="K777" s="72"/>
      <c r="L777" s="73"/>
      <c r="M777" s="73"/>
      <c r="N777" s="74"/>
      <c r="O777" s="75"/>
      <c r="P777" s="73"/>
      <c r="Q777" s="76"/>
      <c r="R777" s="76"/>
      <c r="S777" s="76"/>
      <c r="T777" s="76"/>
      <c r="U777" s="76"/>
      <c r="V777" s="76"/>
      <c r="W777" s="76"/>
      <c r="X777" s="76"/>
      <c r="Y777" s="76"/>
      <c r="Z777" s="77"/>
      <c r="AA777" s="77"/>
      <c r="AB777" s="77"/>
      <c r="AC777" s="77"/>
      <c r="AD777" s="77"/>
      <c r="AE777" s="77"/>
      <c r="AF777" s="77"/>
      <c r="AG777" s="77"/>
      <c r="AH777" s="78"/>
      <c r="AI777" s="78"/>
      <c r="AJ777" s="78"/>
      <c r="AK777" s="78"/>
      <c r="AL777" s="78"/>
      <c r="AM777" s="78"/>
      <c r="AN777" s="76"/>
      <c r="AO777" s="76"/>
      <c r="AP777" s="76"/>
      <c r="AQ777" s="76"/>
      <c r="AR777" s="76"/>
      <c r="AS777" s="76"/>
      <c r="AT777" s="76"/>
      <c r="AU777" s="76"/>
      <c r="AV777" s="76"/>
      <c r="AW777" s="79"/>
      <c r="AX777" s="79"/>
      <c r="AY777" s="79"/>
      <c r="AZ777" s="79"/>
      <c r="BA777" s="79"/>
      <c r="BB777" s="11"/>
      <c r="BC777" s="11"/>
      <c r="BD777" s="11"/>
      <c r="BE777" s="73"/>
      <c r="BF777" s="73"/>
      <c r="BG777" s="73"/>
      <c r="BH777" s="77"/>
      <c r="BI777" s="77"/>
      <c r="BJ777" s="77"/>
      <c r="BK777" s="77"/>
      <c r="BL777" s="77"/>
      <c r="BM777" s="77"/>
      <c r="BN777" s="158"/>
      <c r="BO777" s="158"/>
    </row>
    <row r="778" spans="1:67" ht="15" x14ac:dyDescent="0.25">
      <c r="A778" s="71"/>
      <c r="B778" s="11"/>
      <c r="C778" s="11"/>
      <c r="D778" s="11"/>
      <c r="E778" s="11"/>
      <c r="F778" s="11"/>
      <c r="G778" s="11"/>
      <c r="H778" s="11"/>
      <c r="I778" s="11"/>
      <c r="J778" s="249"/>
      <c r="K778" s="72"/>
      <c r="L778" s="73"/>
      <c r="M778" s="73"/>
      <c r="N778" s="74"/>
      <c r="O778" s="75"/>
      <c r="P778" s="73"/>
      <c r="Q778" s="76"/>
      <c r="R778" s="76"/>
      <c r="S778" s="76"/>
      <c r="T778" s="76"/>
      <c r="U778" s="76"/>
      <c r="V778" s="76"/>
      <c r="W778" s="76"/>
      <c r="X778" s="76"/>
      <c r="Y778" s="76"/>
      <c r="Z778" s="77"/>
      <c r="AA778" s="77"/>
      <c r="AB778" s="77"/>
      <c r="AC778" s="77"/>
      <c r="AD778" s="77"/>
      <c r="AE778" s="77"/>
      <c r="AF778" s="77"/>
      <c r="AG778" s="77"/>
      <c r="AH778" s="78"/>
      <c r="AI778" s="78"/>
      <c r="AJ778" s="78"/>
      <c r="AK778" s="78"/>
      <c r="AL778" s="78"/>
      <c r="AM778" s="78"/>
      <c r="AN778" s="76"/>
      <c r="AO778" s="76"/>
      <c r="AP778" s="76"/>
      <c r="AQ778" s="76"/>
      <c r="AR778" s="76"/>
      <c r="AS778" s="76"/>
      <c r="AT778" s="76"/>
      <c r="AU778" s="76"/>
      <c r="AV778" s="76"/>
      <c r="AW778" s="79"/>
      <c r="AX778" s="79"/>
      <c r="AY778" s="79"/>
      <c r="AZ778" s="79"/>
      <c r="BA778" s="79"/>
      <c r="BB778" s="11"/>
      <c r="BC778" s="11"/>
      <c r="BD778" s="11"/>
      <c r="BE778" s="73"/>
      <c r="BF778" s="73"/>
      <c r="BG778" s="73"/>
      <c r="BH778" s="77"/>
      <c r="BI778" s="77"/>
      <c r="BJ778" s="77"/>
      <c r="BK778" s="77"/>
      <c r="BL778" s="77"/>
      <c r="BM778" s="77"/>
      <c r="BN778" s="158"/>
      <c r="BO778" s="158"/>
    </row>
    <row r="779" spans="1:67" ht="15" x14ac:dyDescent="0.25">
      <c r="A779" s="71"/>
      <c r="B779" s="11"/>
      <c r="C779" s="11"/>
      <c r="D779" s="11"/>
      <c r="E779" s="11"/>
      <c r="F779" s="11"/>
      <c r="G779" s="11"/>
      <c r="H779" s="11"/>
      <c r="I779" s="11"/>
      <c r="J779" s="249"/>
      <c r="K779" s="72"/>
      <c r="L779" s="73"/>
      <c r="M779" s="73"/>
      <c r="N779" s="74"/>
      <c r="O779" s="75"/>
      <c r="P779" s="73"/>
      <c r="Q779" s="76"/>
      <c r="R779" s="76"/>
      <c r="S779" s="76"/>
      <c r="T779" s="76"/>
      <c r="U779" s="76"/>
      <c r="V779" s="76"/>
      <c r="W779" s="76"/>
      <c r="X779" s="76"/>
      <c r="Y779" s="76"/>
      <c r="Z779" s="77"/>
      <c r="AA779" s="77"/>
      <c r="AB779" s="77"/>
      <c r="AC779" s="77"/>
      <c r="AD779" s="77"/>
      <c r="AE779" s="77"/>
      <c r="AF779" s="77"/>
      <c r="AG779" s="77"/>
      <c r="AH779" s="78"/>
      <c r="AI779" s="78"/>
      <c r="AJ779" s="78"/>
      <c r="AK779" s="78"/>
      <c r="AL779" s="78"/>
      <c r="AM779" s="78"/>
      <c r="AN779" s="76"/>
      <c r="AO779" s="76"/>
      <c r="AP779" s="76"/>
      <c r="AQ779" s="76"/>
      <c r="AR779" s="76"/>
      <c r="AS779" s="76"/>
      <c r="AT779" s="76"/>
      <c r="AU779" s="76"/>
      <c r="AV779" s="76"/>
      <c r="AW779" s="79"/>
      <c r="AX779" s="79"/>
      <c r="AY779" s="79"/>
      <c r="AZ779" s="79"/>
      <c r="BA779" s="79"/>
      <c r="BB779" s="11"/>
      <c r="BC779" s="11"/>
      <c r="BD779" s="11"/>
      <c r="BE779" s="73"/>
      <c r="BF779" s="73"/>
      <c r="BG779" s="73"/>
      <c r="BH779" s="77"/>
      <c r="BI779" s="77"/>
      <c r="BJ779" s="77"/>
      <c r="BK779" s="77"/>
      <c r="BL779" s="77"/>
      <c r="BM779" s="77"/>
      <c r="BN779" s="158"/>
      <c r="BO779" s="158"/>
    </row>
    <row r="780" spans="1:67" ht="15" x14ac:dyDescent="0.25">
      <c r="A780" s="71"/>
      <c r="B780" s="11"/>
      <c r="C780" s="11"/>
      <c r="D780" s="11"/>
      <c r="E780" s="11"/>
      <c r="F780" s="11"/>
      <c r="G780" s="11"/>
      <c r="H780" s="11"/>
      <c r="I780" s="11"/>
      <c r="J780" s="249"/>
      <c r="K780" s="72"/>
      <c r="L780" s="73"/>
      <c r="M780" s="73"/>
      <c r="N780" s="74"/>
      <c r="O780" s="75"/>
      <c r="P780" s="73"/>
      <c r="Q780" s="76"/>
      <c r="R780" s="76"/>
      <c r="S780" s="76"/>
      <c r="T780" s="76"/>
      <c r="U780" s="76"/>
      <c r="V780" s="76"/>
      <c r="W780" s="76"/>
      <c r="X780" s="76"/>
      <c r="Y780" s="76"/>
      <c r="Z780" s="77"/>
      <c r="AA780" s="77"/>
      <c r="AB780" s="77"/>
      <c r="AC780" s="77"/>
      <c r="AD780" s="77"/>
      <c r="AE780" s="77"/>
      <c r="AF780" s="77"/>
      <c r="AG780" s="77"/>
      <c r="AH780" s="78"/>
      <c r="AI780" s="78"/>
      <c r="AJ780" s="78"/>
      <c r="AK780" s="78"/>
      <c r="AL780" s="78"/>
      <c r="AM780" s="78"/>
      <c r="AN780" s="76"/>
      <c r="AO780" s="76"/>
      <c r="AP780" s="76"/>
      <c r="AQ780" s="76"/>
      <c r="AR780" s="76"/>
      <c r="AS780" s="76"/>
      <c r="AT780" s="76"/>
      <c r="AU780" s="76"/>
      <c r="AV780" s="76"/>
      <c r="AW780" s="79"/>
      <c r="AX780" s="79"/>
      <c r="AY780" s="79"/>
      <c r="AZ780" s="79"/>
      <c r="BA780" s="79"/>
      <c r="BB780" s="11"/>
      <c r="BC780" s="11"/>
      <c r="BD780" s="11"/>
      <c r="BE780" s="73"/>
      <c r="BF780" s="73"/>
      <c r="BG780" s="73"/>
      <c r="BH780" s="77"/>
      <c r="BI780" s="77"/>
      <c r="BJ780" s="77"/>
      <c r="BK780" s="77"/>
      <c r="BL780" s="77"/>
      <c r="BM780" s="77"/>
      <c r="BN780" s="158"/>
      <c r="BO780" s="158"/>
    </row>
    <row r="781" spans="1:67" ht="15" x14ac:dyDescent="0.25">
      <c r="A781" s="71"/>
      <c r="B781" s="11"/>
      <c r="C781" s="11"/>
      <c r="D781" s="11"/>
      <c r="E781" s="11"/>
      <c r="F781" s="11"/>
      <c r="G781" s="11"/>
      <c r="H781" s="11"/>
      <c r="I781" s="11"/>
      <c r="J781" s="249"/>
      <c r="K781" s="72"/>
      <c r="L781" s="73"/>
      <c r="M781" s="73"/>
      <c r="N781" s="74"/>
      <c r="O781" s="75"/>
      <c r="P781" s="73"/>
      <c r="Q781" s="76"/>
      <c r="R781" s="76"/>
      <c r="S781" s="76"/>
      <c r="T781" s="76"/>
      <c r="U781" s="76"/>
      <c r="V781" s="76"/>
      <c r="W781" s="76"/>
      <c r="X781" s="76"/>
      <c r="Y781" s="76"/>
      <c r="Z781" s="77"/>
      <c r="AA781" s="77"/>
      <c r="AB781" s="77"/>
      <c r="AC781" s="77"/>
      <c r="AD781" s="77"/>
      <c r="AE781" s="77"/>
      <c r="AF781" s="77"/>
      <c r="AG781" s="77"/>
      <c r="AH781" s="78"/>
      <c r="AI781" s="78"/>
      <c r="AJ781" s="78"/>
      <c r="AK781" s="78"/>
      <c r="AL781" s="78"/>
      <c r="AM781" s="78"/>
      <c r="AN781" s="76"/>
      <c r="AO781" s="76"/>
      <c r="AP781" s="76"/>
      <c r="AQ781" s="76"/>
      <c r="AR781" s="76"/>
      <c r="AS781" s="76"/>
      <c r="AT781" s="76"/>
      <c r="AU781" s="76"/>
      <c r="AV781" s="76"/>
      <c r="AW781" s="79"/>
      <c r="AX781" s="79"/>
      <c r="AY781" s="79"/>
      <c r="AZ781" s="79"/>
      <c r="BA781" s="79"/>
      <c r="BB781" s="11"/>
      <c r="BC781" s="11"/>
      <c r="BD781" s="11"/>
      <c r="BE781" s="73"/>
      <c r="BF781" s="73"/>
      <c r="BG781" s="73"/>
      <c r="BH781" s="77"/>
      <c r="BI781" s="77"/>
      <c r="BJ781" s="77"/>
      <c r="BK781" s="77"/>
      <c r="BL781" s="77"/>
      <c r="BM781" s="77"/>
      <c r="BN781" s="158"/>
      <c r="BO781" s="158"/>
    </row>
    <row r="782" spans="1:67" ht="15" x14ac:dyDescent="0.25">
      <c r="A782" s="71"/>
      <c r="B782" s="11"/>
      <c r="C782" s="11"/>
      <c r="D782" s="11"/>
      <c r="E782" s="11"/>
      <c r="F782" s="11"/>
      <c r="G782" s="11"/>
      <c r="H782" s="11"/>
      <c r="I782" s="11"/>
      <c r="J782" s="249"/>
      <c r="K782" s="72"/>
      <c r="L782" s="73"/>
      <c r="M782" s="73"/>
      <c r="N782" s="74"/>
      <c r="O782" s="75"/>
      <c r="P782" s="73"/>
      <c r="Q782" s="76"/>
      <c r="R782" s="76"/>
      <c r="S782" s="76"/>
      <c r="T782" s="76"/>
      <c r="U782" s="76"/>
      <c r="V782" s="76"/>
      <c r="W782" s="76"/>
      <c r="X782" s="76"/>
      <c r="Y782" s="76"/>
      <c r="Z782" s="77"/>
      <c r="AA782" s="77"/>
      <c r="AB782" s="77"/>
      <c r="AC782" s="77"/>
      <c r="AD782" s="77"/>
      <c r="AE782" s="77"/>
      <c r="AF782" s="77"/>
      <c r="AG782" s="77"/>
      <c r="AH782" s="78"/>
      <c r="AI782" s="78"/>
      <c r="AJ782" s="78"/>
      <c r="AK782" s="78"/>
      <c r="AL782" s="78"/>
      <c r="AM782" s="78"/>
      <c r="AN782" s="76"/>
      <c r="AO782" s="76"/>
      <c r="AP782" s="76"/>
      <c r="AQ782" s="76"/>
      <c r="AR782" s="76"/>
      <c r="AS782" s="76"/>
      <c r="AT782" s="76"/>
      <c r="AU782" s="76"/>
      <c r="AV782" s="76"/>
      <c r="AW782" s="79"/>
      <c r="AX782" s="79"/>
      <c r="AY782" s="79"/>
      <c r="AZ782" s="79"/>
      <c r="BA782" s="79"/>
      <c r="BB782" s="11"/>
      <c r="BC782" s="11"/>
      <c r="BD782" s="11"/>
      <c r="BE782" s="73"/>
      <c r="BF782" s="73"/>
      <c r="BG782" s="73"/>
      <c r="BH782" s="77"/>
      <c r="BI782" s="77"/>
      <c r="BJ782" s="77"/>
      <c r="BK782" s="77"/>
      <c r="BL782" s="77"/>
      <c r="BM782" s="77"/>
      <c r="BN782" s="158"/>
      <c r="BO782" s="158"/>
    </row>
    <row r="783" spans="1:67" ht="15" x14ac:dyDescent="0.25">
      <c r="A783" s="71"/>
      <c r="B783" s="11"/>
      <c r="C783" s="11"/>
      <c r="D783" s="11"/>
      <c r="E783" s="11"/>
      <c r="F783" s="11"/>
      <c r="G783" s="11"/>
      <c r="H783" s="11"/>
      <c r="I783" s="11"/>
      <c r="J783" s="249"/>
      <c r="K783" s="72"/>
      <c r="L783" s="73"/>
      <c r="M783" s="73"/>
      <c r="N783" s="74"/>
      <c r="O783" s="75"/>
      <c r="P783" s="73"/>
      <c r="Q783" s="76"/>
      <c r="R783" s="76"/>
      <c r="S783" s="76"/>
      <c r="T783" s="76"/>
      <c r="U783" s="76"/>
      <c r="V783" s="76"/>
      <c r="W783" s="76"/>
      <c r="X783" s="76"/>
      <c r="Y783" s="76"/>
      <c r="Z783" s="77"/>
      <c r="AA783" s="77"/>
      <c r="AB783" s="77"/>
      <c r="AC783" s="77"/>
      <c r="AD783" s="77"/>
      <c r="AE783" s="77"/>
      <c r="AF783" s="77"/>
      <c r="AG783" s="77"/>
      <c r="AH783" s="78"/>
      <c r="AI783" s="78"/>
      <c r="AJ783" s="78"/>
      <c r="AK783" s="78"/>
      <c r="AL783" s="78"/>
      <c r="AM783" s="78"/>
      <c r="AN783" s="76"/>
      <c r="AO783" s="76"/>
      <c r="AP783" s="76"/>
      <c r="AQ783" s="76"/>
      <c r="AR783" s="76"/>
      <c r="AS783" s="76"/>
      <c r="AT783" s="76"/>
      <c r="AU783" s="76"/>
      <c r="AV783" s="76"/>
      <c r="AW783" s="79"/>
      <c r="AX783" s="79"/>
      <c r="AY783" s="79"/>
      <c r="AZ783" s="79"/>
      <c r="BA783" s="79"/>
      <c r="BB783" s="11"/>
      <c r="BC783" s="11"/>
      <c r="BD783" s="11"/>
      <c r="BE783" s="73"/>
      <c r="BF783" s="73"/>
      <c r="BG783" s="73"/>
      <c r="BH783" s="77"/>
      <c r="BI783" s="77"/>
      <c r="BJ783" s="77"/>
      <c r="BK783" s="77"/>
      <c r="BL783" s="77"/>
      <c r="BM783" s="77"/>
      <c r="BN783" s="158"/>
      <c r="BO783" s="158"/>
    </row>
    <row r="784" spans="1:67" ht="15" x14ac:dyDescent="0.25">
      <c r="A784" s="71"/>
      <c r="B784" s="11"/>
      <c r="C784" s="11"/>
      <c r="D784" s="11"/>
      <c r="E784" s="11"/>
      <c r="F784" s="11"/>
      <c r="G784" s="11"/>
      <c r="H784" s="11"/>
      <c r="I784" s="11"/>
      <c r="J784" s="249"/>
      <c r="K784" s="72"/>
      <c r="L784" s="73"/>
      <c r="M784" s="73"/>
      <c r="N784" s="74"/>
      <c r="O784" s="75"/>
      <c r="P784" s="73"/>
      <c r="Q784" s="76"/>
      <c r="R784" s="76"/>
      <c r="S784" s="76"/>
      <c r="T784" s="76"/>
      <c r="U784" s="76"/>
      <c r="V784" s="76"/>
      <c r="W784" s="76"/>
      <c r="X784" s="76"/>
      <c r="Y784" s="76"/>
      <c r="Z784" s="77"/>
      <c r="AA784" s="77"/>
      <c r="AB784" s="77"/>
      <c r="AC784" s="77"/>
      <c r="AD784" s="77"/>
      <c r="AE784" s="77"/>
      <c r="AF784" s="77"/>
      <c r="AG784" s="77"/>
      <c r="AH784" s="78"/>
      <c r="AI784" s="78"/>
      <c r="AJ784" s="78"/>
      <c r="AK784" s="78"/>
      <c r="AL784" s="78"/>
      <c r="AM784" s="78"/>
      <c r="AN784" s="76"/>
      <c r="AO784" s="76"/>
      <c r="AP784" s="76"/>
      <c r="AQ784" s="76"/>
      <c r="AR784" s="76"/>
      <c r="AS784" s="76"/>
      <c r="AT784" s="76"/>
      <c r="AU784" s="76"/>
      <c r="AV784" s="76"/>
      <c r="AW784" s="79"/>
      <c r="AX784" s="79"/>
      <c r="AY784" s="79"/>
      <c r="AZ784" s="79"/>
      <c r="BA784" s="79"/>
      <c r="BB784" s="11"/>
      <c r="BC784" s="11"/>
      <c r="BD784" s="11"/>
      <c r="BE784" s="73"/>
      <c r="BF784" s="73"/>
      <c r="BG784" s="73"/>
      <c r="BH784" s="77"/>
      <c r="BI784" s="77"/>
      <c r="BJ784" s="77"/>
      <c r="BK784" s="77"/>
      <c r="BL784" s="77"/>
      <c r="BM784" s="77"/>
      <c r="BN784" s="158"/>
      <c r="BO784" s="158"/>
    </row>
    <row r="785" spans="1:67" ht="15" x14ac:dyDescent="0.25">
      <c r="A785" s="71"/>
      <c r="B785" s="11"/>
      <c r="C785" s="11"/>
      <c r="D785" s="11"/>
      <c r="E785" s="11"/>
      <c r="F785" s="11"/>
      <c r="G785" s="11"/>
      <c r="H785" s="11"/>
      <c r="I785" s="11"/>
      <c r="J785" s="249"/>
      <c r="K785" s="72"/>
      <c r="L785" s="73"/>
      <c r="M785" s="73"/>
      <c r="N785" s="74"/>
      <c r="O785" s="75"/>
      <c r="P785" s="73"/>
      <c r="Q785" s="76"/>
      <c r="R785" s="76"/>
      <c r="S785" s="76"/>
      <c r="T785" s="76"/>
      <c r="U785" s="76"/>
      <c r="V785" s="76"/>
      <c r="W785" s="76"/>
      <c r="X785" s="76"/>
      <c r="Y785" s="76"/>
      <c r="Z785" s="77"/>
      <c r="AA785" s="77"/>
      <c r="AB785" s="77"/>
      <c r="AC785" s="77"/>
      <c r="AD785" s="77"/>
      <c r="AE785" s="77"/>
      <c r="AF785" s="77"/>
      <c r="AG785" s="77"/>
      <c r="AH785" s="78"/>
      <c r="AI785" s="78"/>
      <c r="AJ785" s="78"/>
      <c r="AK785" s="78"/>
      <c r="AL785" s="78"/>
      <c r="AM785" s="78"/>
      <c r="AN785" s="76"/>
      <c r="AO785" s="76"/>
      <c r="AP785" s="76"/>
      <c r="AQ785" s="76"/>
      <c r="AR785" s="76"/>
      <c r="AS785" s="76"/>
      <c r="AT785" s="76"/>
      <c r="AU785" s="76"/>
      <c r="AV785" s="76"/>
      <c r="AW785" s="79"/>
      <c r="AX785" s="79"/>
      <c r="AY785" s="79"/>
      <c r="AZ785" s="79"/>
      <c r="BA785" s="79"/>
      <c r="BB785" s="11"/>
      <c r="BC785" s="11"/>
      <c r="BD785" s="11"/>
      <c r="BE785" s="73"/>
      <c r="BF785" s="73"/>
      <c r="BG785" s="73"/>
      <c r="BH785" s="77"/>
      <c r="BI785" s="77"/>
      <c r="BJ785" s="77"/>
      <c r="BK785" s="77"/>
      <c r="BL785" s="77"/>
      <c r="BM785" s="77"/>
      <c r="BN785" s="158"/>
      <c r="BO785" s="158"/>
    </row>
    <row r="786" spans="1:67" ht="15" x14ac:dyDescent="0.25">
      <c r="A786" s="71"/>
      <c r="B786" s="11"/>
      <c r="C786" s="11"/>
      <c r="D786" s="11"/>
      <c r="E786" s="11"/>
      <c r="F786" s="11"/>
      <c r="G786" s="11"/>
      <c r="H786" s="11"/>
      <c r="I786" s="11"/>
      <c r="J786" s="249"/>
      <c r="K786" s="72"/>
      <c r="L786" s="73"/>
      <c r="M786" s="73"/>
      <c r="N786" s="74"/>
      <c r="O786" s="75"/>
      <c r="P786" s="73"/>
      <c r="Q786" s="76"/>
      <c r="R786" s="76"/>
      <c r="S786" s="76"/>
      <c r="T786" s="76"/>
      <c r="U786" s="76"/>
      <c r="V786" s="76"/>
      <c r="W786" s="76"/>
      <c r="X786" s="76"/>
      <c r="Y786" s="76"/>
      <c r="Z786" s="77"/>
      <c r="AA786" s="77"/>
      <c r="AB786" s="77"/>
      <c r="AC786" s="77"/>
      <c r="AD786" s="77"/>
      <c r="AE786" s="77"/>
      <c r="AF786" s="77"/>
      <c r="AG786" s="77"/>
      <c r="AH786" s="78"/>
      <c r="AI786" s="78"/>
      <c r="AJ786" s="78"/>
      <c r="AK786" s="78"/>
      <c r="AL786" s="78"/>
      <c r="AM786" s="78"/>
      <c r="AN786" s="76"/>
      <c r="AO786" s="76"/>
      <c r="AP786" s="76"/>
      <c r="AQ786" s="76"/>
      <c r="AR786" s="76"/>
      <c r="AS786" s="76"/>
      <c r="AT786" s="76"/>
      <c r="AU786" s="76"/>
      <c r="AV786" s="76"/>
      <c r="AW786" s="79"/>
      <c r="AX786" s="79"/>
      <c r="AY786" s="79"/>
      <c r="AZ786" s="79"/>
      <c r="BA786" s="79"/>
      <c r="BB786" s="11"/>
      <c r="BC786" s="11"/>
      <c r="BD786" s="11"/>
      <c r="BE786" s="73"/>
      <c r="BF786" s="73"/>
      <c r="BG786" s="73"/>
      <c r="BH786" s="77"/>
      <c r="BI786" s="77"/>
      <c r="BJ786" s="77"/>
      <c r="BK786" s="77"/>
      <c r="BL786" s="77"/>
      <c r="BM786" s="77"/>
      <c r="BN786" s="158"/>
      <c r="BO786" s="158"/>
    </row>
    <row r="787" spans="1:67" ht="15" x14ac:dyDescent="0.25">
      <c r="A787" s="71"/>
      <c r="B787" s="11"/>
      <c r="C787" s="11"/>
      <c r="D787" s="11"/>
      <c r="E787" s="11"/>
      <c r="F787" s="11"/>
      <c r="G787" s="11"/>
      <c r="H787" s="11"/>
      <c r="I787" s="11"/>
      <c r="J787" s="249"/>
      <c r="K787" s="72"/>
      <c r="L787" s="73"/>
      <c r="M787" s="73"/>
      <c r="N787" s="74"/>
      <c r="O787" s="75"/>
      <c r="P787" s="73"/>
      <c r="Q787" s="76"/>
      <c r="R787" s="76"/>
      <c r="S787" s="76"/>
      <c r="T787" s="76"/>
      <c r="U787" s="76"/>
      <c r="V787" s="76"/>
      <c r="W787" s="76"/>
      <c r="X787" s="76"/>
      <c r="Y787" s="76"/>
      <c r="Z787" s="77"/>
      <c r="AA787" s="77"/>
      <c r="AB787" s="77"/>
      <c r="AC787" s="77"/>
      <c r="AD787" s="77"/>
      <c r="AE787" s="77"/>
      <c r="AF787" s="77"/>
      <c r="AG787" s="77"/>
      <c r="AH787" s="78"/>
      <c r="AI787" s="78"/>
      <c r="AJ787" s="78"/>
      <c r="AK787" s="78"/>
      <c r="AL787" s="78"/>
      <c r="AM787" s="78"/>
      <c r="AN787" s="76"/>
      <c r="AO787" s="76"/>
      <c r="AP787" s="76"/>
      <c r="AQ787" s="76"/>
      <c r="AR787" s="76"/>
      <c r="AS787" s="76"/>
      <c r="AT787" s="76"/>
      <c r="AU787" s="76"/>
      <c r="AV787" s="76"/>
      <c r="AW787" s="79"/>
      <c r="AX787" s="79"/>
      <c r="AY787" s="79"/>
      <c r="AZ787" s="79"/>
      <c r="BA787" s="79"/>
      <c r="BB787" s="11"/>
      <c r="BC787" s="11"/>
      <c r="BD787" s="11"/>
      <c r="BE787" s="73"/>
      <c r="BF787" s="73"/>
      <c r="BG787" s="73"/>
      <c r="BH787" s="77"/>
      <c r="BI787" s="77"/>
      <c r="BJ787" s="77"/>
      <c r="BK787" s="77"/>
      <c r="BL787" s="77"/>
      <c r="BM787" s="77"/>
      <c r="BN787" s="158"/>
      <c r="BO787" s="158"/>
    </row>
    <row r="788" spans="1:67" ht="15" x14ac:dyDescent="0.25">
      <c r="A788" s="71"/>
      <c r="B788" s="11"/>
      <c r="C788" s="11"/>
      <c r="D788" s="11"/>
      <c r="E788" s="11"/>
      <c r="F788" s="11"/>
      <c r="G788" s="11"/>
      <c r="H788" s="11"/>
      <c r="I788" s="11"/>
      <c r="J788" s="249"/>
      <c r="K788" s="72"/>
      <c r="L788" s="73"/>
      <c r="M788" s="73"/>
      <c r="N788" s="74"/>
      <c r="O788" s="75"/>
      <c r="P788" s="73"/>
      <c r="Q788" s="76"/>
      <c r="R788" s="76"/>
      <c r="S788" s="76"/>
      <c r="T788" s="76"/>
      <c r="U788" s="76"/>
      <c r="V788" s="76"/>
      <c r="W788" s="76"/>
      <c r="X788" s="76"/>
      <c r="Y788" s="76"/>
      <c r="Z788" s="77"/>
      <c r="AA788" s="77"/>
      <c r="AB788" s="77"/>
      <c r="AC788" s="77"/>
      <c r="AD788" s="77"/>
      <c r="AE788" s="77"/>
      <c r="AF788" s="77"/>
      <c r="AG788" s="77"/>
      <c r="AH788" s="78"/>
      <c r="AI788" s="78"/>
      <c r="AJ788" s="78"/>
      <c r="AK788" s="78"/>
      <c r="AL788" s="78"/>
      <c r="AM788" s="78"/>
      <c r="AN788" s="76"/>
      <c r="AO788" s="76"/>
      <c r="AP788" s="76"/>
      <c r="AQ788" s="76"/>
      <c r="AR788" s="76"/>
      <c r="AS788" s="76"/>
      <c r="AT788" s="76"/>
      <c r="AU788" s="76"/>
      <c r="AV788" s="76"/>
      <c r="AW788" s="79"/>
      <c r="AX788" s="79"/>
      <c r="AY788" s="79"/>
      <c r="AZ788" s="79"/>
      <c r="BA788" s="79"/>
      <c r="BB788" s="11"/>
      <c r="BC788" s="11"/>
      <c r="BD788" s="11"/>
      <c r="BE788" s="73"/>
      <c r="BF788" s="73"/>
      <c r="BG788" s="73"/>
      <c r="BH788" s="77"/>
      <c r="BI788" s="77"/>
      <c r="BJ788" s="77"/>
      <c r="BK788" s="77"/>
      <c r="BL788" s="77"/>
      <c r="BM788" s="77"/>
      <c r="BN788" s="158"/>
      <c r="BO788" s="158"/>
    </row>
    <row r="789" spans="1:67" ht="15" x14ac:dyDescent="0.25">
      <c r="A789" s="71"/>
      <c r="B789" s="11"/>
      <c r="C789" s="11"/>
      <c r="D789" s="11"/>
      <c r="E789" s="11"/>
      <c r="F789" s="11"/>
      <c r="G789" s="11"/>
      <c r="H789" s="11"/>
      <c r="I789" s="11"/>
      <c r="J789" s="249"/>
      <c r="K789" s="72"/>
      <c r="L789" s="73"/>
      <c r="M789" s="73"/>
      <c r="N789" s="74"/>
      <c r="O789" s="75"/>
      <c r="P789" s="73"/>
      <c r="Q789" s="76"/>
      <c r="R789" s="76"/>
      <c r="S789" s="76"/>
      <c r="T789" s="76"/>
      <c r="U789" s="76"/>
      <c r="V789" s="76"/>
      <c r="W789" s="76"/>
      <c r="X789" s="76"/>
      <c r="Y789" s="76"/>
      <c r="Z789" s="77"/>
      <c r="AA789" s="77"/>
      <c r="AB789" s="77"/>
      <c r="AC789" s="77"/>
      <c r="AD789" s="77"/>
      <c r="AE789" s="77"/>
      <c r="AF789" s="77"/>
      <c r="AG789" s="77"/>
      <c r="AH789" s="78"/>
      <c r="AI789" s="78"/>
      <c r="AJ789" s="78"/>
      <c r="AK789" s="78"/>
      <c r="AL789" s="78"/>
      <c r="AM789" s="78"/>
      <c r="AN789" s="76"/>
      <c r="AO789" s="76"/>
      <c r="AP789" s="76"/>
      <c r="AQ789" s="76"/>
      <c r="AR789" s="76"/>
      <c r="AS789" s="76"/>
      <c r="AT789" s="76"/>
      <c r="AU789" s="76"/>
      <c r="AV789" s="76"/>
      <c r="AW789" s="79"/>
      <c r="AX789" s="79"/>
      <c r="AY789" s="79"/>
      <c r="AZ789" s="79"/>
      <c r="BA789" s="79"/>
      <c r="BB789" s="11"/>
      <c r="BC789" s="11"/>
      <c r="BD789" s="11"/>
      <c r="BE789" s="73"/>
      <c r="BF789" s="73"/>
      <c r="BG789" s="73"/>
      <c r="BH789" s="77"/>
      <c r="BI789" s="77"/>
      <c r="BJ789" s="77"/>
      <c r="BK789" s="77"/>
      <c r="BL789" s="77"/>
      <c r="BM789" s="77"/>
      <c r="BN789" s="158"/>
      <c r="BO789" s="158"/>
    </row>
    <row r="790" spans="1:67" ht="15" x14ac:dyDescent="0.25">
      <c r="A790" s="71"/>
      <c r="B790" s="11"/>
      <c r="C790" s="11"/>
      <c r="D790" s="11"/>
      <c r="E790" s="11"/>
      <c r="F790" s="11"/>
      <c r="G790" s="11"/>
      <c r="H790" s="11"/>
      <c r="I790" s="11"/>
      <c r="J790" s="249"/>
      <c r="K790" s="72"/>
      <c r="L790" s="73"/>
      <c r="M790" s="73"/>
      <c r="N790" s="74"/>
      <c r="O790" s="75"/>
      <c r="P790" s="73"/>
      <c r="Q790" s="76"/>
      <c r="R790" s="76"/>
      <c r="S790" s="76"/>
      <c r="T790" s="76"/>
      <c r="U790" s="76"/>
      <c r="V790" s="76"/>
      <c r="W790" s="76"/>
      <c r="X790" s="76"/>
      <c r="Y790" s="76"/>
      <c r="Z790" s="77"/>
      <c r="AA790" s="77"/>
      <c r="AB790" s="77"/>
      <c r="AC790" s="77"/>
      <c r="AD790" s="77"/>
      <c r="AE790" s="77"/>
      <c r="AF790" s="77"/>
      <c r="AG790" s="77"/>
      <c r="AH790" s="78"/>
      <c r="AI790" s="78"/>
      <c r="AJ790" s="78"/>
      <c r="AK790" s="78"/>
      <c r="AL790" s="78"/>
      <c r="AM790" s="78"/>
      <c r="AN790" s="76"/>
      <c r="AO790" s="76"/>
      <c r="AP790" s="76"/>
      <c r="AQ790" s="76"/>
      <c r="AR790" s="76"/>
      <c r="AS790" s="76"/>
      <c r="AT790" s="76"/>
      <c r="AU790" s="76"/>
      <c r="AV790" s="76"/>
      <c r="AW790" s="79"/>
      <c r="AX790" s="79"/>
      <c r="AY790" s="79"/>
      <c r="AZ790" s="79"/>
      <c r="BA790" s="79"/>
      <c r="BB790" s="11"/>
      <c r="BC790" s="11"/>
      <c r="BD790" s="11"/>
      <c r="BE790" s="73"/>
      <c r="BF790" s="73"/>
      <c r="BG790" s="73"/>
      <c r="BH790" s="77"/>
      <c r="BI790" s="77"/>
      <c r="BJ790" s="77"/>
      <c r="BK790" s="77"/>
      <c r="BL790" s="77"/>
      <c r="BM790" s="77"/>
      <c r="BN790" s="158"/>
      <c r="BO790" s="158"/>
    </row>
    <row r="791" spans="1:67" ht="15" x14ac:dyDescent="0.25">
      <c r="A791" s="71"/>
      <c r="B791" s="11"/>
      <c r="C791" s="11"/>
      <c r="D791" s="11"/>
      <c r="E791" s="11"/>
      <c r="F791" s="11"/>
      <c r="G791" s="11"/>
      <c r="H791" s="11"/>
      <c r="I791" s="11"/>
      <c r="J791" s="249"/>
      <c r="K791" s="72"/>
      <c r="L791" s="73"/>
      <c r="M791" s="73"/>
      <c r="N791" s="74"/>
      <c r="O791" s="75"/>
      <c r="P791" s="73"/>
      <c r="Q791" s="76"/>
      <c r="R791" s="76"/>
      <c r="S791" s="76"/>
      <c r="T791" s="76"/>
      <c r="U791" s="76"/>
      <c r="V791" s="76"/>
      <c r="W791" s="76"/>
      <c r="X791" s="76"/>
      <c r="Y791" s="76"/>
      <c r="Z791" s="77"/>
      <c r="AA791" s="77"/>
      <c r="AB791" s="77"/>
      <c r="AC791" s="77"/>
      <c r="AD791" s="77"/>
      <c r="AE791" s="77"/>
      <c r="AF791" s="77"/>
      <c r="AG791" s="77"/>
      <c r="AH791" s="78"/>
      <c r="AI791" s="78"/>
      <c r="AJ791" s="78"/>
      <c r="AK791" s="78"/>
      <c r="AL791" s="78"/>
      <c r="AM791" s="78"/>
      <c r="AN791" s="76"/>
      <c r="AO791" s="76"/>
      <c r="AP791" s="76"/>
      <c r="AQ791" s="76"/>
      <c r="AR791" s="76"/>
      <c r="AS791" s="76"/>
      <c r="AT791" s="76"/>
      <c r="AU791" s="76"/>
      <c r="AV791" s="76"/>
      <c r="AW791" s="79"/>
      <c r="AX791" s="79"/>
      <c r="AY791" s="79"/>
      <c r="AZ791" s="79"/>
      <c r="BA791" s="79"/>
      <c r="BB791" s="11"/>
      <c r="BC791" s="11"/>
      <c r="BD791" s="11"/>
      <c r="BE791" s="73"/>
      <c r="BF791" s="73"/>
      <c r="BG791" s="73"/>
      <c r="BH791" s="77"/>
      <c r="BI791" s="77"/>
      <c r="BJ791" s="77"/>
      <c r="BK791" s="77"/>
      <c r="BL791" s="77"/>
      <c r="BM791" s="77"/>
      <c r="BN791" s="158"/>
      <c r="BO791" s="158"/>
    </row>
    <row r="792" spans="1:67" ht="15" x14ac:dyDescent="0.25">
      <c r="A792" s="71"/>
      <c r="B792" s="11"/>
      <c r="C792" s="11"/>
      <c r="D792" s="11"/>
      <c r="E792" s="11"/>
      <c r="F792" s="11"/>
      <c r="G792" s="11"/>
      <c r="H792" s="11"/>
      <c r="I792" s="11"/>
      <c r="J792" s="249"/>
      <c r="K792" s="72"/>
      <c r="L792" s="73"/>
      <c r="M792" s="73"/>
      <c r="N792" s="74"/>
      <c r="O792" s="75"/>
      <c r="P792" s="73"/>
      <c r="Q792" s="76"/>
      <c r="R792" s="76"/>
      <c r="S792" s="76"/>
      <c r="T792" s="76"/>
      <c r="U792" s="76"/>
      <c r="V792" s="76"/>
      <c r="W792" s="76"/>
      <c r="X792" s="76"/>
      <c r="Y792" s="76"/>
      <c r="Z792" s="77"/>
      <c r="AA792" s="77"/>
      <c r="AB792" s="77"/>
      <c r="AC792" s="77"/>
      <c r="AD792" s="77"/>
      <c r="AE792" s="77"/>
      <c r="AF792" s="77"/>
      <c r="AG792" s="77"/>
      <c r="AH792" s="78"/>
      <c r="AI792" s="78"/>
      <c r="AJ792" s="78"/>
      <c r="AK792" s="78"/>
      <c r="AL792" s="78"/>
      <c r="AM792" s="78"/>
      <c r="AN792" s="76"/>
      <c r="AO792" s="76"/>
      <c r="AP792" s="76"/>
      <c r="AQ792" s="76"/>
      <c r="AR792" s="76"/>
      <c r="AS792" s="76"/>
      <c r="AT792" s="76"/>
      <c r="AU792" s="76"/>
      <c r="AV792" s="76"/>
      <c r="AW792" s="79"/>
      <c r="AX792" s="79"/>
      <c r="AY792" s="79"/>
      <c r="AZ792" s="79"/>
      <c r="BA792" s="79"/>
      <c r="BB792" s="11"/>
      <c r="BC792" s="11"/>
      <c r="BD792" s="11"/>
      <c r="BE792" s="73"/>
      <c r="BF792" s="73"/>
      <c r="BG792" s="73"/>
      <c r="BH792" s="77"/>
      <c r="BI792" s="77"/>
      <c r="BJ792" s="77"/>
      <c r="BK792" s="77"/>
      <c r="BL792" s="77"/>
      <c r="BM792" s="77"/>
      <c r="BN792" s="158"/>
      <c r="BO792" s="158"/>
    </row>
    <row r="793" spans="1:67" ht="15" x14ac:dyDescent="0.25">
      <c r="A793" s="71"/>
      <c r="B793" s="11"/>
      <c r="C793" s="11"/>
      <c r="D793" s="11"/>
      <c r="E793" s="11"/>
      <c r="F793" s="11"/>
      <c r="G793" s="11"/>
      <c r="H793" s="11"/>
      <c r="I793" s="11"/>
      <c r="J793" s="249"/>
      <c r="K793" s="72"/>
      <c r="L793" s="73"/>
      <c r="M793" s="73"/>
      <c r="N793" s="74"/>
      <c r="O793" s="75"/>
      <c r="P793" s="73"/>
      <c r="Q793" s="76"/>
      <c r="R793" s="76"/>
      <c r="S793" s="76"/>
      <c r="T793" s="76"/>
      <c r="U793" s="76"/>
      <c r="V793" s="76"/>
      <c r="W793" s="76"/>
      <c r="X793" s="76"/>
      <c r="Y793" s="76"/>
      <c r="Z793" s="77"/>
      <c r="AA793" s="77"/>
      <c r="AB793" s="77"/>
      <c r="AC793" s="77"/>
      <c r="AD793" s="77"/>
      <c r="AE793" s="77"/>
      <c r="AF793" s="77"/>
      <c r="AG793" s="77"/>
      <c r="AH793" s="78"/>
      <c r="AI793" s="78"/>
      <c r="AJ793" s="78"/>
      <c r="AK793" s="78"/>
      <c r="AL793" s="78"/>
      <c r="AM793" s="78"/>
      <c r="AN793" s="76"/>
      <c r="AO793" s="76"/>
      <c r="AP793" s="76"/>
      <c r="AQ793" s="76"/>
      <c r="AR793" s="76"/>
      <c r="AS793" s="76"/>
      <c r="AT793" s="76"/>
      <c r="AU793" s="76"/>
      <c r="AV793" s="76"/>
      <c r="AW793" s="79"/>
      <c r="AX793" s="79"/>
      <c r="AY793" s="79"/>
      <c r="AZ793" s="79"/>
      <c r="BA793" s="79"/>
      <c r="BB793" s="11"/>
      <c r="BC793" s="11"/>
      <c r="BD793" s="11"/>
      <c r="BE793" s="73"/>
      <c r="BF793" s="73"/>
      <c r="BG793" s="73"/>
      <c r="BH793" s="77"/>
      <c r="BI793" s="77"/>
      <c r="BJ793" s="77"/>
      <c r="BK793" s="77"/>
      <c r="BL793" s="77"/>
      <c r="BM793" s="77"/>
      <c r="BN793" s="158"/>
      <c r="BO793" s="158"/>
    </row>
    <row r="794" spans="1:67" ht="15" x14ac:dyDescent="0.25">
      <c r="A794" s="71"/>
      <c r="B794" s="11"/>
      <c r="C794" s="11"/>
      <c r="D794" s="11"/>
      <c r="E794" s="11"/>
      <c r="F794" s="11"/>
      <c r="G794" s="11"/>
      <c r="H794" s="11"/>
      <c r="I794" s="11"/>
      <c r="J794" s="249"/>
      <c r="K794" s="72"/>
      <c r="L794" s="73"/>
      <c r="M794" s="73"/>
      <c r="N794" s="74"/>
      <c r="O794" s="75"/>
      <c r="P794" s="73"/>
      <c r="Q794" s="76"/>
      <c r="R794" s="76"/>
      <c r="S794" s="76"/>
      <c r="T794" s="76"/>
      <c r="U794" s="76"/>
      <c r="V794" s="76"/>
      <c r="W794" s="76"/>
      <c r="X794" s="76"/>
      <c r="Y794" s="76"/>
      <c r="Z794" s="77"/>
      <c r="AA794" s="77"/>
      <c r="AB794" s="77"/>
      <c r="AC794" s="77"/>
      <c r="AD794" s="77"/>
      <c r="AE794" s="77"/>
      <c r="AF794" s="77"/>
      <c r="AG794" s="77"/>
      <c r="AH794" s="78"/>
      <c r="AI794" s="78"/>
      <c r="AJ794" s="78"/>
      <c r="AK794" s="78"/>
      <c r="AL794" s="78"/>
      <c r="AM794" s="78"/>
      <c r="AN794" s="76"/>
      <c r="AO794" s="76"/>
      <c r="AP794" s="76"/>
      <c r="AQ794" s="76"/>
      <c r="AR794" s="76"/>
      <c r="AS794" s="76"/>
      <c r="AT794" s="76"/>
      <c r="AU794" s="76"/>
      <c r="AV794" s="76"/>
      <c r="AW794" s="79"/>
      <c r="AX794" s="79"/>
      <c r="AY794" s="79"/>
      <c r="AZ794" s="79"/>
      <c r="BA794" s="79"/>
      <c r="BB794" s="11"/>
      <c r="BC794" s="11"/>
      <c r="BD794" s="11"/>
      <c r="BE794" s="73"/>
      <c r="BF794" s="73"/>
      <c r="BG794" s="73"/>
      <c r="BH794" s="77"/>
      <c r="BI794" s="77"/>
      <c r="BJ794" s="77"/>
      <c r="BK794" s="77"/>
      <c r="BL794" s="77"/>
      <c r="BM794" s="77"/>
      <c r="BN794" s="158"/>
      <c r="BO794" s="158"/>
    </row>
    <row r="795" spans="1:67" ht="15" x14ac:dyDescent="0.25">
      <c r="A795" s="71"/>
      <c r="B795" s="11"/>
      <c r="C795" s="11"/>
      <c r="D795" s="11"/>
      <c r="E795" s="11"/>
      <c r="F795" s="11"/>
      <c r="G795" s="11"/>
      <c r="H795" s="11"/>
      <c r="I795" s="11"/>
      <c r="J795" s="249"/>
      <c r="K795" s="72"/>
      <c r="L795" s="73"/>
      <c r="M795" s="73"/>
      <c r="N795" s="74"/>
      <c r="O795" s="75"/>
      <c r="P795" s="73"/>
      <c r="Q795" s="76"/>
      <c r="R795" s="76"/>
      <c r="S795" s="76"/>
      <c r="T795" s="76"/>
      <c r="U795" s="76"/>
      <c r="V795" s="76"/>
      <c r="W795" s="76"/>
      <c r="X795" s="76"/>
      <c r="Y795" s="76"/>
      <c r="Z795" s="77"/>
      <c r="AA795" s="77"/>
      <c r="AB795" s="77"/>
      <c r="AC795" s="77"/>
      <c r="AD795" s="77"/>
      <c r="AE795" s="77"/>
      <c r="AF795" s="77"/>
      <c r="AG795" s="77"/>
      <c r="AH795" s="78"/>
      <c r="AI795" s="78"/>
      <c r="AJ795" s="78"/>
      <c r="AK795" s="78"/>
      <c r="AL795" s="78"/>
      <c r="AM795" s="78"/>
      <c r="AN795" s="76"/>
      <c r="AO795" s="76"/>
      <c r="AP795" s="76"/>
      <c r="AQ795" s="76"/>
      <c r="AR795" s="76"/>
      <c r="AS795" s="76"/>
      <c r="AT795" s="76"/>
      <c r="AU795" s="76"/>
      <c r="AV795" s="76"/>
      <c r="AW795" s="79"/>
      <c r="AX795" s="79"/>
      <c r="AY795" s="79"/>
      <c r="AZ795" s="79"/>
      <c r="BA795" s="79"/>
      <c r="BB795" s="11"/>
      <c r="BC795" s="11"/>
      <c r="BD795" s="11"/>
      <c r="BE795" s="73"/>
      <c r="BF795" s="73"/>
      <c r="BG795" s="73"/>
      <c r="BH795" s="77"/>
      <c r="BI795" s="77"/>
      <c r="BJ795" s="77"/>
      <c r="BK795" s="77"/>
      <c r="BL795" s="77"/>
      <c r="BM795" s="77"/>
      <c r="BN795" s="158"/>
      <c r="BO795" s="158"/>
    </row>
    <row r="796" spans="1:67" ht="15" x14ac:dyDescent="0.25">
      <c r="A796" s="71"/>
      <c r="B796" s="11"/>
      <c r="C796" s="11"/>
      <c r="D796" s="11"/>
      <c r="E796" s="11"/>
      <c r="F796" s="11"/>
      <c r="G796" s="11"/>
      <c r="H796" s="11"/>
      <c r="I796" s="11"/>
      <c r="J796" s="249"/>
      <c r="K796" s="72"/>
      <c r="L796" s="73"/>
      <c r="M796" s="73"/>
      <c r="N796" s="74"/>
      <c r="O796" s="75"/>
      <c r="P796" s="73"/>
      <c r="Q796" s="76"/>
      <c r="R796" s="76"/>
      <c r="S796" s="76"/>
      <c r="T796" s="76"/>
      <c r="U796" s="76"/>
      <c r="V796" s="76"/>
      <c r="W796" s="76"/>
      <c r="X796" s="76"/>
      <c r="Y796" s="76"/>
      <c r="Z796" s="77"/>
      <c r="AA796" s="77"/>
      <c r="AB796" s="77"/>
      <c r="AC796" s="77"/>
      <c r="AD796" s="77"/>
      <c r="AE796" s="77"/>
      <c r="AF796" s="77"/>
      <c r="AG796" s="77"/>
      <c r="AH796" s="78"/>
      <c r="AI796" s="78"/>
      <c r="AJ796" s="78"/>
      <c r="AK796" s="78"/>
      <c r="AL796" s="78"/>
      <c r="AM796" s="78"/>
      <c r="AN796" s="76"/>
      <c r="AO796" s="76"/>
      <c r="AP796" s="76"/>
      <c r="AQ796" s="76"/>
      <c r="AR796" s="76"/>
      <c r="AS796" s="76"/>
      <c r="AT796" s="76"/>
      <c r="AU796" s="76"/>
      <c r="AV796" s="76"/>
      <c r="AW796" s="79"/>
      <c r="AX796" s="79"/>
      <c r="AY796" s="79"/>
      <c r="AZ796" s="79"/>
      <c r="BA796" s="79"/>
      <c r="BB796" s="11"/>
      <c r="BC796" s="11"/>
      <c r="BD796" s="11"/>
      <c r="BE796" s="73"/>
      <c r="BF796" s="73"/>
      <c r="BG796" s="73"/>
      <c r="BH796" s="77"/>
      <c r="BI796" s="77"/>
      <c r="BJ796" s="77"/>
      <c r="BK796" s="77"/>
      <c r="BL796" s="77"/>
      <c r="BM796" s="77"/>
      <c r="BN796" s="158"/>
      <c r="BO796" s="158"/>
    </row>
    <row r="797" spans="1:67" ht="15" x14ac:dyDescent="0.25">
      <c r="A797" s="71"/>
      <c r="B797" s="11"/>
      <c r="C797" s="11"/>
      <c r="D797" s="11"/>
      <c r="E797" s="11"/>
      <c r="F797" s="11"/>
      <c r="G797" s="11"/>
      <c r="H797" s="11"/>
      <c r="I797" s="11"/>
      <c r="J797" s="249"/>
      <c r="K797" s="72"/>
      <c r="L797" s="73"/>
      <c r="M797" s="73"/>
      <c r="N797" s="74"/>
      <c r="O797" s="75"/>
      <c r="P797" s="73"/>
      <c r="Q797" s="76"/>
      <c r="R797" s="76"/>
      <c r="S797" s="76"/>
      <c r="T797" s="76"/>
      <c r="U797" s="76"/>
      <c r="V797" s="76"/>
      <c r="W797" s="76"/>
      <c r="X797" s="76"/>
      <c r="Y797" s="76"/>
      <c r="Z797" s="77"/>
      <c r="AA797" s="77"/>
      <c r="AB797" s="77"/>
      <c r="AC797" s="77"/>
      <c r="AD797" s="77"/>
      <c r="AE797" s="77"/>
      <c r="AF797" s="77"/>
      <c r="AG797" s="77"/>
      <c r="AH797" s="78"/>
      <c r="AI797" s="78"/>
      <c r="AJ797" s="78"/>
      <c r="AK797" s="78"/>
      <c r="AL797" s="78"/>
      <c r="AM797" s="78"/>
      <c r="AN797" s="76"/>
      <c r="AO797" s="76"/>
      <c r="AP797" s="76"/>
      <c r="AQ797" s="76"/>
      <c r="AR797" s="76"/>
      <c r="AS797" s="76"/>
      <c r="AT797" s="76"/>
      <c r="AU797" s="76"/>
      <c r="AV797" s="76"/>
      <c r="AW797" s="79"/>
      <c r="AX797" s="79"/>
      <c r="AY797" s="79"/>
      <c r="AZ797" s="79"/>
      <c r="BA797" s="79"/>
      <c r="BB797" s="11"/>
      <c r="BC797" s="11"/>
      <c r="BD797" s="11"/>
      <c r="BE797" s="73"/>
      <c r="BF797" s="73"/>
      <c r="BG797" s="73"/>
      <c r="BH797" s="77"/>
      <c r="BI797" s="77"/>
      <c r="BJ797" s="77"/>
      <c r="BK797" s="77"/>
      <c r="BL797" s="77"/>
      <c r="BM797" s="77"/>
      <c r="BN797" s="158"/>
      <c r="BO797" s="158"/>
    </row>
    <row r="798" spans="1:67" ht="15" x14ac:dyDescent="0.25">
      <c r="A798" s="71"/>
      <c r="B798" s="11"/>
      <c r="C798" s="11"/>
      <c r="D798" s="11"/>
      <c r="E798" s="11"/>
      <c r="F798" s="11"/>
      <c r="G798" s="11"/>
      <c r="H798" s="11"/>
      <c r="I798" s="11"/>
      <c r="J798" s="249"/>
      <c r="K798" s="72"/>
      <c r="L798" s="73"/>
      <c r="M798" s="73"/>
      <c r="N798" s="74"/>
      <c r="O798" s="75"/>
      <c r="P798" s="73"/>
      <c r="Q798" s="76"/>
      <c r="R798" s="76"/>
      <c r="S798" s="76"/>
      <c r="T798" s="76"/>
      <c r="U798" s="76"/>
      <c r="V798" s="76"/>
      <c r="W798" s="76"/>
      <c r="X798" s="76"/>
      <c r="Y798" s="76"/>
      <c r="Z798" s="77"/>
      <c r="AA798" s="77"/>
      <c r="AB798" s="77"/>
      <c r="AC798" s="77"/>
      <c r="AD798" s="77"/>
      <c r="AE798" s="77"/>
      <c r="AF798" s="77"/>
      <c r="AG798" s="77"/>
      <c r="AH798" s="78"/>
      <c r="AI798" s="78"/>
      <c r="AJ798" s="78"/>
      <c r="AK798" s="78"/>
      <c r="AL798" s="78"/>
      <c r="AM798" s="78"/>
      <c r="AN798" s="76"/>
      <c r="AO798" s="76"/>
      <c r="AP798" s="76"/>
      <c r="AQ798" s="76"/>
      <c r="AR798" s="76"/>
      <c r="AS798" s="76"/>
      <c r="AT798" s="76"/>
      <c r="AU798" s="76"/>
      <c r="AV798" s="76"/>
      <c r="AW798" s="79"/>
      <c r="AX798" s="79"/>
      <c r="AY798" s="79"/>
      <c r="AZ798" s="79"/>
      <c r="BA798" s="79"/>
      <c r="BB798" s="11"/>
      <c r="BC798" s="11"/>
      <c r="BD798" s="11"/>
      <c r="BE798" s="73"/>
      <c r="BF798" s="73"/>
      <c r="BG798" s="73"/>
      <c r="BH798" s="77"/>
      <c r="BI798" s="77"/>
      <c r="BJ798" s="77"/>
      <c r="BK798" s="77"/>
      <c r="BL798" s="77"/>
      <c r="BM798" s="77"/>
      <c r="BN798" s="158"/>
      <c r="BO798" s="158"/>
    </row>
    <row r="799" spans="1:67" ht="15" x14ac:dyDescent="0.25">
      <c r="A799" s="71"/>
      <c r="B799" s="11"/>
      <c r="C799" s="11"/>
      <c r="D799" s="11"/>
      <c r="E799" s="11"/>
      <c r="F799" s="11"/>
      <c r="G799" s="11"/>
      <c r="H799" s="11"/>
      <c r="I799" s="11"/>
      <c r="J799" s="249"/>
      <c r="K799" s="72"/>
      <c r="L799" s="73"/>
      <c r="M799" s="73"/>
      <c r="N799" s="74"/>
      <c r="O799" s="75"/>
      <c r="P799" s="73"/>
      <c r="Q799" s="76"/>
      <c r="R799" s="76"/>
      <c r="S799" s="76"/>
      <c r="T799" s="76"/>
      <c r="U799" s="76"/>
      <c r="V799" s="76"/>
      <c r="W799" s="76"/>
      <c r="X799" s="76"/>
      <c r="Y799" s="76"/>
      <c r="Z799" s="77"/>
      <c r="AA799" s="77"/>
      <c r="AB799" s="77"/>
      <c r="AC799" s="77"/>
      <c r="AD799" s="77"/>
      <c r="AE799" s="77"/>
      <c r="AF799" s="77"/>
      <c r="AG799" s="77"/>
      <c r="AH799" s="78"/>
      <c r="AI799" s="78"/>
      <c r="AJ799" s="78"/>
      <c r="AK799" s="78"/>
      <c r="AL799" s="78"/>
      <c r="AM799" s="78"/>
      <c r="AN799" s="76"/>
      <c r="AO799" s="76"/>
      <c r="AP799" s="76"/>
      <c r="AQ799" s="76"/>
      <c r="AR799" s="76"/>
      <c r="AS799" s="76"/>
      <c r="AT799" s="76"/>
      <c r="AU799" s="76"/>
      <c r="AV799" s="76"/>
      <c r="AW799" s="79"/>
      <c r="AX799" s="79"/>
      <c r="AY799" s="79"/>
      <c r="AZ799" s="79"/>
      <c r="BA799" s="79"/>
      <c r="BB799" s="11"/>
      <c r="BC799" s="11"/>
      <c r="BD799" s="11"/>
      <c r="BE799" s="73"/>
      <c r="BF799" s="73"/>
      <c r="BG799" s="73"/>
      <c r="BH799" s="77"/>
      <c r="BI799" s="77"/>
      <c r="BJ799" s="77"/>
      <c r="BK799" s="77"/>
      <c r="BL799" s="77"/>
      <c r="BM799" s="77"/>
      <c r="BN799" s="158"/>
      <c r="BO799" s="158"/>
    </row>
    <row r="800" spans="1:67" ht="15" x14ac:dyDescent="0.25">
      <c r="A800" s="71"/>
      <c r="B800" s="11"/>
      <c r="C800" s="11"/>
      <c r="D800" s="11"/>
      <c r="E800" s="11"/>
      <c r="F800" s="11"/>
      <c r="G800" s="11"/>
      <c r="H800" s="11"/>
      <c r="I800" s="11"/>
      <c r="J800" s="249"/>
      <c r="K800" s="72"/>
      <c r="L800" s="73"/>
      <c r="M800" s="73"/>
      <c r="N800" s="74"/>
      <c r="O800" s="75"/>
      <c r="P800" s="73"/>
      <c r="Q800" s="76"/>
      <c r="R800" s="76"/>
      <c r="S800" s="76"/>
      <c r="T800" s="76"/>
      <c r="U800" s="76"/>
      <c r="V800" s="76"/>
      <c r="W800" s="76"/>
      <c r="X800" s="76"/>
      <c r="Y800" s="76"/>
      <c r="Z800" s="77"/>
      <c r="AA800" s="77"/>
      <c r="AB800" s="77"/>
      <c r="AC800" s="77"/>
      <c r="AD800" s="77"/>
      <c r="AE800" s="77"/>
      <c r="AF800" s="77"/>
      <c r="AG800" s="77"/>
      <c r="AH800" s="78"/>
      <c r="AI800" s="78"/>
      <c r="AJ800" s="78"/>
      <c r="AK800" s="78"/>
      <c r="AL800" s="78"/>
      <c r="AM800" s="78"/>
      <c r="AN800" s="76"/>
      <c r="AO800" s="76"/>
      <c r="AP800" s="76"/>
      <c r="AQ800" s="76"/>
      <c r="AR800" s="76"/>
      <c r="AS800" s="76"/>
      <c r="AT800" s="76"/>
      <c r="AU800" s="76"/>
      <c r="AV800" s="76"/>
      <c r="AW800" s="79"/>
      <c r="AX800" s="79"/>
      <c r="AY800" s="79"/>
      <c r="AZ800" s="79"/>
      <c r="BA800" s="79"/>
      <c r="BB800" s="11"/>
      <c r="BC800" s="11"/>
      <c r="BD800" s="11"/>
      <c r="BE800" s="73"/>
      <c r="BF800" s="73"/>
      <c r="BG800" s="73"/>
      <c r="BH800" s="77"/>
      <c r="BI800" s="77"/>
      <c r="BJ800" s="77"/>
      <c r="BK800" s="77"/>
      <c r="BL800" s="77"/>
      <c r="BM800" s="77"/>
      <c r="BN800" s="158"/>
      <c r="BO800" s="158"/>
    </row>
    <row r="801" spans="1:67" ht="15" x14ac:dyDescent="0.25">
      <c r="A801" s="71"/>
      <c r="B801" s="11"/>
      <c r="C801" s="11"/>
      <c r="D801" s="11"/>
      <c r="E801" s="11"/>
      <c r="F801" s="11"/>
      <c r="G801" s="11"/>
      <c r="H801" s="11"/>
      <c r="I801" s="11"/>
      <c r="J801" s="249"/>
      <c r="K801" s="72"/>
      <c r="L801" s="73"/>
      <c r="M801" s="73"/>
      <c r="N801" s="74"/>
      <c r="O801" s="75"/>
      <c r="P801" s="73"/>
      <c r="Q801" s="76"/>
      <c r="R801" s="76"/>
      <c r="S801" s="76"/>
      <c r="T801" s="76"/>
      <c r="U801" s="76"/>
      <c r="V801" s="76"/>
      <c r="W801" s="76"/>
      <c r="X801" s="76"/>
      <c r="Y801" s="76"/>
      <c r="Z801" s="77"/>
      <c r="AA801" s="77"/>
      <c r="AB801" s="77"/>
      <c r="AC801" s="77"/>
      <c r="AD801" s="77"/>
      <c r="AE801" s="77"/>
      <c r="AF801" s="77"/>
      <c r="AG801" s="77"/>
      <c r="AH801" s="78"/>
      <c r="AI801" s="78"/>
      <c r="AJ801" s="78"/>
      <c r="AK801" s="78"/>
      <c r="AL801" s="78"/>
      <c r="AM801" s="78"/>
      <c r="AN801" s="76"/>
      <c r="AO801" s="76"/>
      <c r="AP801" s="76"/>
      <c r="AQ801" s="76"/>
      <c r="AR801" s="76"/>
      <c r="AS801" s="76"/>
      <c r="AT801" s="76"/>
      <c r="AU801" s="76"/>
      <c r="AV801" s="76"/>
      <c r="AW801" s="79"/>
      <c r="AX801" s="79"/>
      <c r="AY801" s="79"/>
      <c r="AZ801" s="79"/>
      <c r="BA801" s="79"/>
      <c r="BB801" s="11"/>
      <c r="BC801" s="11"/>
      <c r="BD801" s="11"/>
      <c r="BE801" s="73"/>
      <c r="BF801" s="73"/>
      <c r="BG801" s="73"/>
      <c r="BH801" s="77"/>
      <c r="BI801" s="77"/>
      <c r="BJ801" s="77"/>
      <c r="BK801" s="77"/>
      <c r="BL801" s="77"/>
      <c r="BM801" s="77"/>
      <c r="BN801" s="158"/>
      <c r="BO801" s="158"/>
    </row>
    <row r="802" spans="1:67" ht="15" x14ac:dyDescent="0.25">
      <c r="A802" s="71"/>
      <c r="B802" s="11"/>
      <c r="C802" s="11"/>
      <c r="D802" s="11"/>
      <c r="E802" s="11"/>
      <c r="F802" s="11"/>
      <c r="G802" s="11"/>
      <c r="H802" s="11"/>
      <c r="I802" s="11"/>
      <c r="J802" s="249"/>
      <c r="K802" s="72"/>
      <c r="L802" s="73"/>
      <c r="M802" s="73"/>
      <c r="N802" s="74"/>
      <c r="O802" s="75"/>
      <c r="P802" s="73"/>
      <c r="Q802" s="76"/>
      <c r="R802" s="76"/>
      <c r="S802" s="76"/>
      <c r="T802" s="76"/>
      <c r="U802" s="76"/>
      <c r="V802" s="76"/>
      <c r="W802" s="76"/>
      <c r="X802" s="76"/>
      <c r="Y802" s="76"/>
      <c r="Z802" s="77"/>
      <c r="AA802" s="77"/>
      <c r="AB802" s="77"/>
      <c r="AC802" s="77"/>
      <c r="AD802" s="77"/>
      <c r="AE802" s="77"/>
      <c r="AF802" s="77"/>
      <c r="AG802" s="77"/>
      <c r="AH802" s="78"/>
      <c r="AI802" s="78"/>
      <c r="AJ802" s="78"/>
      <c r="AK802" s="78"/>
      <c r="AL802" s="78"/>
      <c r="AM802" s="78"/>
      <c r="AN802" s="76"/>
      <c r="AO802" s="76"/>
      <c r="AP802" s="76"/>
      <c r="AQ802" s="76"/>
      <c r="AR802" s="76"/>
      <c r="AS802" s="76"/>
      <c r="AT802" s="76"/>
      <c r="AU802" s="76"/>
      <c r="AV802" s="76"/>
      <c r="AW802" s="79"/>
      <c r="AX802" s="79"/>
      <c r="AY802" s="79"/>
      <c r="AZ802" s="79"/>
      <c r="BA802" s="79"/>
      <c r="BB802" s="11"/>
      <c r="BC802" s="11"/>
      <c r="BD802" s="11"/>
      <c r="BE802" s="73"/>
      <c r="BF802" s="73"/>
      <c r="BG802" s="73"/>
      <c r="BH802" s="77"/>
      <c r="BI802" s="77"/>
      <c r="BJ802" s="77"/>
      <c r="BK802" s="77"/>
      <c r="BL802" s="77"/>
      <c r="BM802" s="77"/>
      <c r="BN802" s="158"/>
      <c r="BO802" s="158"/>
    </row>
    <row r="803" spans="1:67" ht="15" x14ac:dyDescent="0.25">
      <c r="A803" s="71"/>
      <c r="B803" s="11"/>
      <c r="C803" s="11"/>
      <c r="D803" s="11"/>
      <c r="E803" s="11"/>
      <c r="F803" s="11"/>
      <c r="G803" s="11"/>
      <c r="H803" s="11"/>
      <c r="I803" s="11"/>
      <c r="J803" s="249"/>
      <c r="K803" s="72"/>
      <c r="L803" s="73"/>
      <c r="M803" s="73"/>
      <c r="N803" s="74"/>
      <c r="O803" s="75"/>
      <c r="P803" s="73"/>
      <c r="Q803" s="76"/>
      <c r="R803" s="76"/>
      <c r="S803" s="76"/>
      <c r="T803" s="76"/>
      <c r="U803" s="76"/>
      <c r="V803" s="76"/>
      <c r="W803" s="76"/>
      <c r="X803" s="76"/>
      <c r="Y803" s="76"/>
      <c r="Z803" s="77"/>
      <c r="AA803" s="77"/>
      <c r="AB803" s="77"/>
      <c r="AC803" s="77"/>
      <c r="AD803" s="77"/>
      <c r="AE803" s="77"/>
      <c r="AF803" s="77"/>
      <c r="AG803" s="77"/>
      <c r="AH803" s="78"/>
      <c r="AI803" s="78"/>
      <c r="AJ803" s="78"/>
      <c r="AK803" s="78"/>
      <c r="AL803" s="78"/>
      <c r="AM803" s="78"/>
      <c r="AN803" s="76"/>
      <c r="AO803" s="76"/>
      <c r="AP803" s="76"/>
      <c r="AQ803" s="76"/>
      <c r="AR803" s="76"/>
      <c r="AS803" s="76"/>
      <c r="AT803" s="76"/>
      <c r="AU803" s="76"/>
      <c r="AV803" s="76"/>
      <c r="AW803" s="79"/>
      <c r="AX803" s="79"/>
      <c r="AY803" s="79"/>
      <c r="AZ803" s="79"/>
      <c r="BA803" s="79"/>
      <c r="BB803" s="11"/>
      <c r="BC803" s="11"/>
      <c r="BD803" s="11"/>
      <c r="BE803" s="73"/>
      <c r="BF803" s="73"/>
      <c r="BG803" s="73"/>
      <c r="BH803" s="77"/>
      <c r="BI803" s="77"/>
      <c r="BJ803" s="77"/>
      <c r="BK803" s="77"/>
      <c r="BL803" s="77"/>
      <c r="BM803" s="77"/>
      <c r="BN803" s="158"/>
      <c r="BO803" s="158"/>
    </row>
    <row r="804" spans="1:67" ht="15" x14ac:dyDescent="0.25">
      <c r="A804" s="71"/>
      <c r="B804" s="11"/>
      <c r="C804" s="11"/>
      <c r="D804" s="11"/>
      <c r="E804" s="11"/>
      <c r="F804" s="11"/>
      <c r="G804" s="11"/>
      <c r="H804" s="11"/>
      <c r="I804" s="11"/>
      <c r="J804" s="249"/>
      <c r="K804" s="72"/>
      <c r="L804" s="73"/>
      <c r="M804" s="73"/>
      <c r="N804" s="74"/>
      <c r="O804" s="75"/>
      <c r="P804" s="73"/>
      <c r="Q804" s="76"/>
      <c r="R804" s="76"/>
      <c r="S804" s="76"/>
      <c r="T804" s="76"/>
      <c r="U804" s="76"/>
      <c r="V804" s="76"/>
      <c r="W804" s="76"/>
      <c r="X804" s="76"/>
      <c r="Y804" s="76"/>
      <c r="Z804" s="77"/>
      <c r="AA804" s="77"/>
      <c r="AB804" s="77"/>
      <c r="AC804" s="77"/>
      <c r="AD804" s="77"/>
      <c r="AE804" s="77"/>
      <c r="AF804" s="77"/>
      <c r="AG804" s="77"/>
      <c r="AH804" s="78"/>
      <c r="AI804" s="78"/>
      <c r="AJ804" s="78"/>
      <c r="AK804" s="78"/>
      <c r="AL804" s="78"/>
      <c r="AM804" s="78"/>
      <c r="AN804" s="76"/>
      <c r="AO804" s="76"/>
      <c r="AP804" s="76"/>
      <c r="AQ804" s="76"/>
      <c r="AR804" s="76"/>
      <c r="AS804" s="76"/>
      <c r="AT804" s="76"/>
      <c r="AU804" s="76"/>
      <c r="AV804" s="76"/>
      <c r="AW804" s="79"/>
      <c r="AX804" s="79"/>
      <c r="AY804" s="79"/>
      <c r="AZ804" s="79"/>
      <c r="BA804" s="79"/>
      <c r="BB804" s="11"/>
      <c r="BC804" s="11"/>
      <c r="BD804" s="11"/>
      <c r="BE804" s="73"/>
      <c r="BF804" s="73"/>
      <c r="BG804" s="73"/>
      <c r="BH804" s="77"/>
      <c r="BI804" s="77"/>
      <c r="BJ804" s="77"/>
      <c r="BK804" s="77"/>
      <c r="BL804" s="77"/>
      <c r="BM804" s="77"/>
      <c r="BN804" s="158"/>
      <c r="BO804" s="158"/>
    </row>
    <row r="805" spans="1:67" ht="15" x14ac:dyDescent="0.25">
      <c r="A805" s="71"/>
      <c r="B805" s="11"/>
      <c r="C805" s="11"/>
      <c r="D805" s="11"/>
      <c r="E805" s="11"/>
      <c r="F805" s="11"/>
      <c r="G805" s="11"/>
      <c r="H805" s="11"/>
      <c r="I805" s="11"/>
      <c r="J805" s="249"/>
      <c r="K805" s="72"/>
      <c r="L805" s="73"/>
      <c r="M805" s="73"/>
      <c r="N805" s="74"/>
      <c r="O805" s="75"/>
      <c r="P805" s="73"/>
      <c r="Q805" s="76"/>
      <c r="R805" s="76"/>
      <c r="S805" s="76"/>
      <c r="T805" s="76"/>
      <c r="U805" s="76"/>
      <c r="V805" s="76"/>
      <c r="W805" s="76"/>
      <c r="X805" s="76"/>
      <c r="Y805" s="76"/>
      <c r="Z805" s="77"/>
      <c r="AA805" s="77"/>
      <c r="AB805" s="77"/>
      <c r="AC805" s="77"/>
      <c r="AD805" s="77"/>
      <c r="AE805" s="77"/>
      <c r="AF805" s="77"/>
      <c r="AG805" s="77"/>
      <c r="AH805" s="78"/>
      <c r="AI805" s="78"/>
      <c r="AJ805" s="78"/>
      <c r="AK805" s="78"/>
      <c r="AL805" s="78"/>
      <c r="AM805" s="78"/>
      <c r="AN805" s="76"/>
      <c r="AO805" s="76"/>
      <c r="AP805" s="76"/>
      <c r="AQ805" s="76"/>
      <c r="AR805" s="76"/>
      <c r="AS805" s="76"/>
      <c r="AT805" s="76"/>
      <c r="AU805" s="76"/>
      <c r="AV805" s="76"/>
      <c r="AW805" s="79"/>
      <c r="AX805" s="79"/>
      <c r="AY805" s="79"/>
      <c r="AZ805" s="79"/>
      <c r="BA805" s="79"/>
      <c r="BB805" s="11"/>
      <c r="BC805" s="11"/>
      <c r="BD805" s="11"/>
      <c r="BE805" s="73"/>
      <c r="BF805" s="73"/>
      <c r="BG805" s="73"/>
      <c r="BH805" s="77"/>
      <c r="BI805" s="77"/>
      <c r="BJ805" s="77"/>
      <c r="BK805" s="77"/>
      <c r="BL805" s="77"/>
      <c r="BM805" s="77"/>
      <c r="BN805" s="158"/>
      <c r="BO805" s="158"/>
    </row>
    <row r="806" spans="1:67" ht="15" x14ac:dyDescent="0.25">
      <c r="A806" s="71"/>
      <c r="B806" s="11"/>
      <c r="C806" s="11"/>
      <c r="D806" s="11"/>
      <c r="E806" s="11"/>
      <c r="F806" s="11"/>
      <c r="G806" s="11"/>
      <c r="H806" s="11"/>
      <c r="I806" s="11"/>
      <c r="J806" s="249"/>
      <c r="K806" s="72"/>
      <c r="L806" s="73"/>
      <c r="M806" s="73"/>
      <c r="N806" s="74"/>
      <c r="O806" s="75"/>
      <c r="P806" s="73"/>
      <c r="Q806" s="76"/>
      <c r="R806" s="76"/>
      <c r="S806" s="76"/>
      <c r="T806" s="76"/>
      <c r="U806" s="76"/>
      <c r="V806" s="76"/>
      <c r="W806" s="76"/>
      <c r="X806" s="76"/>
      <c r="Y806" s="76"/>
      <c r="Z806" s="77"/>
      <c r="AA806" s="77"/>
      <c r="AB806" s="77"/>
      <c r="AC806" s="77"/>
      <c r="AD806" s="77"/>
      <c r="AE806" s="77"/>
      <c r="AF806" s="77"/>
      <c r="AG806" s="77"/>
      <c r="AH806" s="78"/>
      <c r="AI806" s="78"/>
      <c r="AJ806" s="78"/>
      <c r="AK806" s="78"/>
      <c r="AL806" s="78"/>
      <c r="AM806" s="78"/>
      <c r="AN806" s="76"/>
      <c r="AO806" s="76"/>
      <c r="AP806" s="76"/>
      <c r="AQ806" s="76"/>
      <c r="AR806" s="76"/>
      <c r="AS806" s="76"/>
      <c r="AT806" s="76"/>
      <c r="AU806" s="76"/>
      <c r="AV806" s="76"/>
      <c r="AW806" s="79"/>
      <c r="AX806" s="79"/>
      <c r="AY806" s="79"/>
      <c r="AZ806" s="79"/>
      <c r="BA806" s="79"/>
      <c r="BB806" s="11"/>
      <c r="BC806" s="11"/>
      <c r="BD806" s="11"/>
      <c r="BE806" s="73"/>
      <c r="BF806" s="73"/>
      <c r="BG806" s="73"/>
      <c r="BH806" s="77"/>
      <c r="BI806" s="77"/>
      <c r="BJ806" s="77"/>
      <c r="BK806" s="77"/>
      <c r="BL806" s="77"/>
      <c r="BM806" s="77"/>
      <c r="BN806" s="158"/>
      <c r="BO806" s="158"/>
    </row>
    <row r="807" spans="1:67" ht="15" x14ac:dyDescent="0.25">
      <c r="A807" s="71"/>
      <c r="B807" s="11"/>
      <c r="C807" s="11"/>
      <c r="D807" s="11"/>
      <c r="E807" s="11"/>
      <c r="F807" s="11"/>
      <c r="G807" s="11"/>
      <c r="H807" s="11"/>
      <c r="I807" s="11"/>
      <c r="J807" s="249"/>
      <c r="K807" s="72"/>
      <c r="L807" s="73"/>
      <c r="M807" s="73"/>
      <c r="N807" s="74"/>
      <c r="O807" s="75"/>
      <c r="P807" s="73"/>
      <c r="Q807" s="76"/>
      <c r="R807" s="76"/>
      <c r="S807" s="76"/>
      <c r="T807" s="76"/>
      <c r="U807" s="76"/>
      <c r="V807" s="76"/>
      <c r="W807" s="76"/>
      <c r="X807" s="76"/>
      <c r="Y807" s="76"/>
      <c r="Z807" s="77"/>
      <c r="AA807" s="77"/>
      <c r="AB807" s="77"/>
      <c r="AC807" s="77"/>
      <c r="AD807" s="77"/>
      <c r="AE807" s="77"/>
      <c r="AF807" s="77"/>
      <c r="AG807" s="77"/>
      <c r="AH807" s="78"/>
      <c r="AI807" s="78"/>
      <c r="AJ807" s="78"/>
      <c r="AK807" s="78"/>
      <c r="AL807" s="78"/>
      <c r="AM807" s="78"/>
      <c r="AN807" s="76"/>
      <c r="AO807" s="76"/>
      <c r="AP807" s="76"/>
      <c r="AQ807" s="76"/>
      <c r="AR807" s="76"/>
      <c r="AS807" s="76"/>
      <c r="AT807" s="76"/>
      <c r="AU807" s="76"/>
      <c r="AV807" s="76"/>
      <c r="AW807" s="79"/>
      <c r="AX807" s="79"/>
      <c r="AY807" s="79"/>
      <c r="AZ807" s="79"/>
      <c r="BA807" s="79"/>
      <c r="BB807" s="11"/>
      <c r="BC807" s="11"/>
      <c r="BD807" s="11"/>
      <c r="BE807" s="73"/>
      <c r="BF807" s="73"/>
      <c r="BG807" s="73"/>
      <c r="BH807" s="77"/>
      <c r="BI807" s="77"/>
      <c r="BJ807" s="77"/>
      <c r="BK807" s="77"/>
      <c r="BL807" s="77"/>
      <c r="BM807" s="77"/>
      <c r="BN807" s="158"/>
      <c r="BO807" s="158"/>
    </row>
    <row r="808" spans="1:67" ht="15" x14ac:dyDescent="0.25">
      <c r="A808" s="71"/>
      <c r="B808" s="11"/>
      <c r="C808" s="11"/>
      <c r="D808" s="11"/>
      <c r="E808" s="11"/>
      <c r="F808" s="11"/>
      <c r="G808" s="11"/>
      <c r="H808" s="11"/>
      <c r="I808" s="11"/>
      <c r="J808" s="249"/>
      <c r="K808" s="72"/>
      <c r="L808" s="73"/>
      <c r="M808" s="73"/>
      <c r="N808" s="74"/>
      <c r="O808" s="75"/>
      <c r="P808" s="73"/>
      <c r="Q808" s="76"/>
      <c r="R808" s="76"/>
      <c r="S808" s="76"/>
      <c r="T808" s="76"/>
      <c r="U808" s="76"/>
      <c r="V808" s="76"/>
      <c r="W808" s="76"/>
      <c r="X808" s="76"/>
      <c r="Y808" s="76"/>
      <c r="Z808" s="77"/>
      <c r="AA808" s="77"/>
      <c r="AB808" s="77"/>
      <c r="AC808" s="77"/>
      <c r="AD808" s="77"/>
      <c r="AE808" s="77"/>
      <c r="AF808" s="77"/>
      <c r="AG808" s="77"/>
      <c r="AH808" s="78"/>
      <c r="AI808" s="78"/>
      <c r="AJ808" s="78"/>
      <c r="AK808" s="78"/>
      <c r="AL808" s="78"/>
      <c r="AM808" s="78"/>
      <c r="AN808" s="76"/>
      <c r="AO808" s="76"/>
      <c r="AP808" s="76"/>
      <c r="AQ808" s="76"/>
      <c r="AR808" s="76"/>
      <c r="AS808" s="76"/>
      <c r="AT808" s="76"/>
      <c r="AU808" s="76"/>
      <c r="AV808" s="76"/>
      <c r="AW808" s="79"/>
      <c r="AX808" s="79"/>
      <c r="AY808" s="79"/>
      <c r="AZ808" s="79"/>
      <c r="BA808" s="79"/>
      <c r="BB808" s="11"/>
      <c r="BC808" s="11"/>
      <c r="BD808" s="11"/>
      <c r="BE808" s="73"/>
      <c r="BF808" s="73"/>
      <c r="BG808" s="73"/>
      <c r="BH808" s="77"/>
      <c r="BI808" s="77"/>
      <c r="BJ808" s="77"/>
      <c r="BK808" s="77"/>
      <c r="BL808" s="77"/>
      <c r="BM808" s="77"/>
      <c r="BN808" s="158"/>
      <c r="BO808" s="158"/>
    </row>
    <row r="809" spans="1:67" ht="15" x14ac:dyDescent="0.25">
      <c r="A809" s="71"/>
      <c r="B809" s="11"/>
      <c r="C809" s="11"/>
      <c r="D809" s="11"/>
      <c r="E809" s="11"/>
      <c r="F809" s="11"/>
      <c r="G809" s="11"/>
      <c r="H809" s="11"/>
      <c r="I809" s="11"/>
      <c r="J809" s="249"/>
      <c r="K809" s="72"/>
      <c r="L809" s="73"/>
      <c r="M809" s="73"/>
      <c r="N809" s="74"/>
      <c r="O809" s="75"/>
      <c r="P809" s="73"/>
      <c r="Q809" s="76"/>
      <c r="R809" s="76"/>
      <c r="S809" s="76"/>
      <c r="T809" s="76"/>
      <c r="U809" s="76"/>
      <c r="V809" s="76"/>
      <c r="W809" s="76"/>
      <c r="X809" s="76"/>
      <c r="Y809" s="76"/>
      <c r="Z809" s="77"/>
      <c r="AA809" s="77"/>
      <c r="AB809" s="77"/>
      <c r="AC809" s="77"/>
      <c r="AD809" s="77"/>
      <c r="AE809" s="77"/>
      <c r="AF809" s="77"/>
      <c r="AG809" s="77"/>
      <c r="AH809" s="78"/>
      <c r="AI809" s="78"/>
      <c r="AJ809" s="78"/>
      <c r="AK809" s="78"/>
      <c r="AL809" s="78"/>
      <c r="AM809" s="78"/>
      <c r="AN809" s="76"/>
      <c r="AO809" s="76"/>
      <c r="AP809" s="76"/>
      <c r="AQ809" s="76"/>
      <c r="AR809" s="76"/>
      <c r="AS809" s="76"/>
      <c r="AT809" s="76"/>
      <c r="AU809" s="76"/>
      <c r="AV809" s="76"/>
      <c r="AW809" s="79"/>
      <c r="AX809" s="79"/>
      <c r="AY809" s="79"/>
      <c r="AZ809" s="79"/>
      <c r="BA809" s="79"/>
      <c r="BB809" s="11"/>
      <c r="BC809" s="11"/>
      <c r="BD809" s="11"/>
      <c r="BE809" s="73"/>
      <c r="BF809" s="73"/>
      <c r="BG809" s="73"/>
      <c r="BH809" s="77"/>
      <c r="BI809" s="77"/>
      <c r="BJ809" s="77"/>
      <c r="BK809" s="77"/>
      <c r="BL809" s="77"/>
      <c r="BM809" s="77"/>
      <c r="BN809" s="158"/>
      <c r="BO809" s="158"/>
    </row>
    <row r="810" spans="1:67" ht="15" x14ac:dyDescent="0.25">
      <c r="A810" s="71"/>
      <c r="B810" s="11"/>
      <c r="C810" s="11"/>
      <c r="D810" s="11"/>
      <c r="E810" s="11"/>
      <c r="F810" s="11"/>
      <c r="G810" s="11"/>
      <c r="H810" s="11"/>
      <c r="I810" s="11"/>
      <c r="J810" s="249"/>
      <c r="K810" s="72"/>
      <c r="L810" s="73"/>
      <c r="M810" s="73"/>
      <c r="N810" s="74"/>
      <c r="O810" s="75"/>
      <c r="P810" s="73"/>
      <c r="Q810" s="76"/>
      <c r="R810" s="76"/>
      <c r="S810" s="76"/>
      <c r="T810" s="76"/>
      <c r="U810" s="76"/>
      <c r="V810" s="76"/>
      <c r="W810" s="76"/>
      <c r="X810" s="76"/>
      <c r="Y810" s="76"/>
      <c r="Z810" s="77"/>
      <c r="AA810" s="77"/>
      <c r="AB810" s="77"/>
      <c r="AC810" s="77"/>
      <c r="AD810" s="77"/>
      <c r="AE810" s="77"/>
      <c r="AF810" s="77"/>
      <c r="AG810" s="77"/>
      <c r="AH810" s="78"/>
      <c r="AI810" s="78"/>
      <c r="AJ810" s="78"/>
      <c r="AK810" s="78"/>
      <c r="AL810" s="78"/>
      <c r="AM810" s="78"/>
      <c r="AN810" s="76"/>
      <c r="AO810" s="76"/>
      <c r="AP810" s="76"/>
      <c r="AQ810" s="76"/>
      <c r="AR810" s="76"/>
      <c r="AS810" s="76"/>
      <c r="AT810" s="76"/>
      <c r="AU810" s="76"/>
      <c r="AV810" s="76"/>
      <c r="AW810" s="79"/>
      <c r="AX810" s="79"/>
      <c r="AY810" s="79"/>
      <c r="AZ810" s="79"/>
      <c r="BA810" s="79"/>
      <c r="BB810" s="11"/>
      <c r="BC810" s="11"/>
      <c r="BD810" s="11"/>
      <c r="BE810" s="73"/>
      <c r="BF810" s="73"/>
      <c r="BG810" s="73"/>
      <c r="BH810" s="77"/>
      <c r="BI810" s="77"/>
      <c r="BJ810" s="77"/>
      <c r="BK810" s="77"/>
      <c r="BL810" s="77"/>
      <c r="BM810" s="77"/>
      <c r="BN810" s="158"/>
      <c r="BO810" s="158"/>
    </row>
    <row r="811" spans="1:67" ht="15" x14ac:dyDescent="0.25">
      <c r="A811" s="71"/>
      <c r="B811" s="11"/>
      <c r="C811" s="11"/>
      <c r="D811" s="11"/>
      <c r="E811" s="11"/>
      <c r="F811" s="11"/>
      <c r="G811" s="11"/>
      <c r="H811" s="11"/>
      <c r="I811" s="11"/>
      <c r="J811" s="249"/>
      <c r="K811" s="72"/>
      <c r="L811" s="73"/>
      <c r="M811" s="73"/>
      <c r="N811" s="74"/>
      <c r="O811" s="75"/>
      <c r="P811" s="73"/>
      <c r="Q811" s="76"/>
      <c r="R811" s="76"/>
      <c r="S811" s="76"/>
      <c r="T811" s="76"/>
      <c r="U811" s="76"/>
      <c r="V811" s="76"/>
      <c r="W811" s="76"/>
      <c r="X811" s="76"/>
      <c r="Y811" s="76"/>
      <c r="Z811" s="77"/>
      <c r="AA811" s="77"/>
      <c r="AB811" s="77"/>
      <c r="AC811" s="77"/>
      <c r="AD811" s="77"/>
      <c r="AE811" s="77"/>
      <c r="AF811" s="77"/>
      <c r="AG811" s="77"/>
      <c r="AH811" s="78"/>
      <c r="AI811" s="78"/>
      <c r="AJ811" s="78"/>
      <c r="AK811" s="78"/>
      <c r="AL811" s="78"/>
      <c r="AM811" s="78"/>
      <c r="AN811" s="76"/>
      <c r="AO811" s="76"/>
      <c r="AP811" s="76"/>
      <c r="AQ811" s="76"/>
      <c r="AR811" s="76"/>
      <c r="AS811" s="76"/>
      <c r="AT811" s="76"/>
      <c r="AU811" s="76"/>
      <c r="AV811" s="76"/>
      <c r="AW811" s="79"/>
      <c r="AX811" s="79"/>
      <c r="AY811" s="79"/>
      <c r="AZ811" s="79"/>
      <c r="BA811" s="79"/>
      <c r="BB811" s="11"/>
      <c r="BC811" s="11"/>
      <c r="BD811" s="11"/>
      <c r="BE811" s="73"/>
      <c r="BF811" s="73"/>
      <c r="BG811" s="73"/>
      <c r="BH811" s="77"/>
      <c r="BI811" s="77"/>
      <c r="BJ811" s="77"/>
      <c r="BK811" s="77"/>
      <c r="BL811" s="77"/>
      <c r="BM811" s="77"/>
      <c r="BN811" s="158"/>
      <c r="BO811" s="158"/>
    </row>
    <row r="812" spans="1:67" ht="15" x14ac:dyDescent="0.25">
      <c r="A812" s="71"/>
      <c r="B812" s="11"/>
      <c r="C812" s="11"/>
      <c r="D812" s="11"/>
      <c r="E812" s="11"/>
      <c r="F812" s="11"/>
      <c r="G812" s="11"/>
      <c r="H812" s="11"/>
      <c r="I812" s="11"/>
      <c r="J812" s="249"/>
      <c r="K812" s="72"/>
      <c r="L812" s="73"/>
      <c r="M812" s="73"/>
      <c r="N812" s="74"/>
      <c r="O812" s="75"/>
      <c r="P812" s="73"/>
      <c r="Q812" s="76"/>
      <c r="R812" s="76"/>
      <c r="S812" s="76"/>
      <c r="T812" s="76"/>
      <c r="U812" s="76"/>
      <c r="V812" s="76"/>
      <c r="W812" s="76"/>
      <c r="X812" s="76"/>
      <c r="Y812" s="76"/>
      <c r="Z812" s="77"/>
      <c r="AA812" s="77"/>
      <c r="AB812" s="77"/>
      <c r="AC812" s="77"/>
      <c r="AD812" s="77"/>
      <c r="AE812" s="77"/>
      <c r="AF812" s="77"/>
      <c r="AG812" s="77"/>
      <c r="AH812" s="78"/>
      <c r="AI812" s="78"/>
      <c r="AJ812" s="78"/>
      <c r="AK812" s="78"/>
      <c r="AL812" s="78"/>
      <c r="AM812" s="78"/>
      <c r="AN812" s="76"/>
      <c r="AO812" s="76"/>
      <c r="AP812" s="76"/>
      <c r="AQ812" s="76"/>
      <c r="AR812" s="76"/>
      <c r="AS812" s="76"/>
      <c r="AT812" s="76"/>
      <c r="AU812" s="76"/>
      <c r="AV812" s="76"/>
      <c r="AW812" s="79"/>
      <c r="AX812" s="79"/>
      <c r="AY812" s="79"/>
      <c r="AZ812" s="79"/>
      <c r="BA812" s="79"/>
      <c r="BB812" s="11"/>
      <c r="BC812" s="11"/>
      <c r="BD812" s="11"/>
      <c r="BE812" s="73"/>
      <c r="BF812" s="73"/>
      <c r="BG812" s="73"/>
      <c r="BH812" s="77"/>
      <c r="BI812" s="77"/>
      <c r="BJ812" s="77"/>
      <c r="BK812" s="77"/>
      <c r="BL812" s="77"/>
      <c r="BM812" s="77"/>
      <c r="BN812" s="158"/>
      <c r="BO812" s="158"/>
    </row>
    <row r="813" spans="1:67" ht="15" x14ac:dyDescent="0.25">
      <c r="A813" s="71"/>
      <c r="B813" s="11"/>
      <c r="C813" s="11"/>
      <c r="D813" s="11"/>
      <c r="E813" s="11"/>
      <c r="F813" s="11"/>
      <c r="G813" s="11"/>
      <c r="H813" s="11"/>
      <c r="I813" s="11"/>
      <c r="J813" s="249"/>
      <c r="K813" s="72"/>
      <c r="L813" s="73"/>
      <c r="M813" s="73"/>
      <c r="N813" s="74"/>
      <c r="O813" s="75"/>
      <c r="P813" s="73"/>
      <c r="Q813" s="76"/>
      <c r="R813" s="76"/>
      <c r="S813" s="76"/>
      <c r="T813" s="76"/>
      <c r="U813" s="76"/>
      <c r="V813" s="76"/>
      <c r="W813" s="76"/>
      <c r="X813" s="76"/>
      <c r="Y813" s="76"/>
      <c r="Z813" s="77"/>
      <c r="AA813" s="77"/>
      <c r="AB813" s="77"/>
      <c r="AC813" s="77"/>
      <c r="AD813" s="77"/>
      <c r="AE813" s="77"/>
      <c r="AF813" s="77"/>
      <c r="AG813" s="77"/>
      <c r="AH813" s="78"/>
      <c r="AI813" s="78"/>
      <c r="AJ813" s="78"/>
      <c r="AK813" s="78"/>
      <c r="AL813" s="78"/>
      <c r="AM813" s="78"/>
      <c r="AN813" s="76"/>
      <c r="AO813" s="76"/>
      <c r="AP813" s="76"/>
      <c r="AQ813" s="76"/>
      <c r="AR813" s="76"/>
      <c r="AS813" s="76"/>
      <c r="AT813" s="76"/>
      <c r="AU813" s="76"/>
      <c r="AV813" s="76"/>
      <c r="AW813" s="79"/>
      <c r="AX813" s="79"/>
      <c r="AY813" s="79"/>
      <c r="AZ813" s="79"/>
      <c r="BA813" s="79"/>
      <c r="BB813" s="11"/>
      <c r="BC813" s="11"/>
      <c r="BD813" s="11"/>
      <c r="BE813" s="73"/>
      <c r="BF813" s="73"/>
      <c r="BG813" s="73"/>
      <c r="BH813" s="77"/>
      <c r="BI813" s="77"/>
      <c r="BJ813" s="77"/>
      <c r="BK813" s="77"/>
      <c r="BL813" s="77"/>
      <c r="BM813" s="77"/>
      <c r="BN813" s="158"/>
      <c r="BO813" s="158"/>
    </row>
    <row r="814" spans="1:67" ht="15" x14ac:dyDescent="0.25">
      <c r="A814" s="71"/>
      <c r="B814" s="11"/>
      <c r="C814" s="11"/>
      <c r="D814" s="11"/>
      <c r="E814" s="11"/>
      <c r="F814" s="11"/>
      <c r="G814" s="11"/>
      <c r="H814" s="11"/>
      <c r="I814" s="11"/>
      <c r="J814" s="249"/>
      <c r="K814" s="72"/>
      <c r="L814" s="73"/>
      <c r="M814" s="73"/>
      <c r="N814" s="74"/>
      <c r="O814" s="75"/>
      <c r="P814" s="73"/>
      <c r="Q814" s="76"/>
      <c r="R814" s="76"/>
      <c r="S814" s="76"/>
      <c r="T814" s="76"/>
      <c r="U814" s="76"/>
      <c r="V814" s="76"/>
      <c r="W814" s="76"/>
      <c r="X814" s="76"/>
      <c r="Y814" s="76"/>
      <c r="Z814" s="77"/>
      <c r="AA814" s="77"/>
      <c r="AB814" s="77"/>
      <c r="AC814" s="77"/>
      <c r="AD814" s="77"/>
      <c r="AE814" s="77"/>
      <c r="AF814" s="77"/>
      <c r="AG814" s="77"/>
      <c r="AH814" s="78"/>
      <c r="AI814" s="78"/>
      <c r="AJ814" s="78"/>
      <c r="AK814" s="78"/>
      <c r="AL814" s="78"/>
      <c r="AM814" s="78"/>
      <c r="AN814" s="76"/>
      <c r="AO814" s="76"/>
      <c r="AP814" s="76"/>
      <c r="AQ814" s="76"/>
      <c r="AR814" s="76"/>
      <c r="AS814" s="76"/>
      <c r="AT814" s="76"/>
      <c r="AU814" s="76"/>
      <c r="AV814" s="76"/>
      <c r="AW814" s="79"/>
      <c r="AX814" s="79"/>
      <c r="AY814" s="79"/>
      <c r="AZ814" s="79"/>
      <c r="BA814" s="79"/>
      <c r="BB814" s="11"/>
      <c r="BC814" s="11"/>
      <c r="BD814" s="11"/>
      <c r="BE814" s="73"/>
      <c r="BF814" s="73"/>
      <c r="BG814" s="73"/>
      <c r="BH814" s="77"/>
      <c r="BI814" s="77"/>
      <c r="BJ814" s="77"/>
      <c r="BK814" s="77"/>
      <c r="BL814" s="77"/>
      <c r="BM814" s="77"/>
      <c r="BN814" s="158"/>
      <c r="BO814" s="158"/>
    </row>
    <row r="815" spans="1:67" ht="15" x14ac:dyDescent="0.25">
      <c r="A815" s="71"/>
      <c r="B815" s="11"/>
      <c r="C815" s="11"/>
      <c r="D815" s="11"/>
      <c r="E815" s="11"/>
      <c r="F815" s="11"/>
      <c r="G815" s="11"/>
      <c r="H815" s="11"/>
      <c r="I815" s="11"/>
      <c r="J815" s="249"/>
      <c r="K815" s="72"/>
      <c r="L815" s="73"/>
      <c r="M815" s="73"/>
      <c r="N815" s="74"/>
      <c r="O815" s="75"/>
      <c r="P815" s="73"/>
      <c r="Q815" s="76"/>
      <c r="R815" s="76"/>
      <c r="S815" s="76"/>
      <c r="T815" s="76"/>
      <c r="U815" s="76"/>
      <c r="V815" s="76"/>
      <c r="W815" s="76"/>
      <c r="X815" s="76"/>
      <c r="Y815" s="76"/>
      <c r="Z815" s="77"/>
      <c r="AA815" s="77"/>
      <c r="AB815" s="77"/>
      <c r="AC815" s="77"/>
      <c r="AD815" s="77"/>
      <c r="AE815" s="77"/>
      <c r="AF815" s="77"/>
      <c r="AG815" s="77"/>
      <c r="AH815" s="78"/>
      <c r="AI815" s="78"/>
      <c r="AJ815" s="78"/>
      <c r="AK815" s="78"/>
      <c r="AL815" s="78"/>
      <c r="AM815" s="78"/>
      <c r="AN815" s="76"/>
      <c r="AO815" s="76"/>
      <c r="AP815" s="76"/>
      <c r="AQ815" s="76"/>
      <c r="AR815" s="76"/>
      <c r="AS815" s="76"/>
      <c r="AT815" s="76"/>
      <c r="AU815" s="76"/>
      <c r="AV815" s="76"/>
      <c r="AW815" s="79"/>
      <c r="AX815" s="79"/>
      <c r="AY815" s="79"/>
      <c r="AZ815" s="79"/>
      <c r="BA815" s="79"/>
      <c r="BB815" s="11"/>
      <c r="BC815" s="11"/>
      <c r="BD815" s="11"/>
      <c r="BE815" s="73"/>
      <c r="BF815" s="73"/>
      <c r="BG815" s="73"/>
      <c r="BH815" s="77"/>
      <c r="BI815" s="77"/>
      <c r="BJ815" s="77"/>
      <c r="BK815" s="77"/>
      <c r="BL815" s="77"/>
      <c r="BM815" s="77"/>
      <c r="BN815" s="158"/>
      <c r="BO815" s="158"/>
    </row>
    <row r="816" spans="1:67" ht="15" x14ac:dyDescent="0.25">
      <c r="A816" s="71"/>
      <c r="B816" s="11"/>
      <c r="C816" s="11"/>
      <c r="D816" s="11"/>
      <c r="E816" s="11"/>
      <c r="F816" s="11"/>
      <c r="G816" s="11"/>
      <c r="H816" s="11"/>
      <c r="I816" s="11"/>
      <c r="J816" s="249"/>
      <c r="K816" s="72"/>
      <c r="L816" s="73"/>
      <c r="M816" s="73"/>
      <c r="N816" s="74"/>
      <c r="O816" s="75"/>
      <c r="P816" s="73"/>
      <c r="Q816" s="76"/>
      <c r="R816" s="76"/>
      <c r="S816" s="76"/>
      <c r="T816" s="76"/>
      <c r="U816" s="76"/>
      <c r="V816" s="76"/>
      <c r="W816" s="76"/>
      <c r="X816" s="76"/>
      <c r="Y816" s="76"/>
      <c r="Z816" s="77"/>
      <c r="AA816" s="77"/>
      <c r="AB816" s="77"/>
      <c r="AC816" s="77"/>
      <c r="AD816" s="77"/>
      <c r="AE816" s="77"/>
      <c r="AF816" s="77"/>
      <c r="AG816" s="77"/>
      <c r="AH816" s="78"/>
      <c r="AI816" s="78"/>
      <c r="AJ816" s="78"/>
      <c r="AK816" s="78"/>
      <c r="AL816" s="78"/>
      <c r="AM816" s="78"/>
      <c r="AN816" s="76"/>
      <c r="AO816" s="76"/>
      <c r="AP816" s="76"/>
      <c r="AQ816" s="76"/>
      <c r="AR816" s="76"/>
      <c r="AS816" s="76"/>
      <c r="AT816" s="76"/>
      <c r="AU816" s="76"/>
      <c r="AV816" s="76"/>
      <c r="AW816" s="79"/>
      <c r="AX816" s="79"/>
      <c r="AY816" s="79"/>
      <c r="AZ816" s="79"/>
      <c r="BA816" s="79"/>
      <c r="BB816" s="11"/>
      <c r="BC816" s="11"/>
      <c r="BD816" s="11"/>
      <c r="BE816" s="73"/>
      <c r="BF816" s="73"/>
      <c r="BG816" s="73"/>
      <c r="BH816" s="77"/>
      <c r="BI816" s="77"/>
      <c r="BJ816" s="77"/>
      <c r="BK816" s="77"/>
      <c r="BL816" s="77"/>
      <c r="BM816" s="77"/>
      <c r="BN816" s="158"/>
      <c r="BO816" s="158"/>
    </row>
    <row r="817" spans="1:67" ht="15" x14ac:dyDescent="0.25">
      <c r="A817" s="71"/>
      <c r="B817" s="11"/>
      <c r="C817" s="11"/>
      <c r="D817" s="11"/>
      <c r="E817" s="11"/>
      <c r="F817" s="11"/>
      <c r="G817" s="11"/>
      <c r="H817" s="11"/>
      <c r="I817" s="11"/>
      <c r="J817" s="249"/>
      <c r="K817" s="72"/>
      <c r="L817" s="73"/>
      <c r="M817" s="73"/>
      <c r="N817" s="74"/>
      <c r="O817" s="75"/>
      <c r="P817" s="73"/>
      <c r="Q817" s="76"/>
      <c r="R817" s="76"/>
      <c r="S817" s="76"/>
      <c r="T817" s="76"/>
      <c r="U817" s="76"/>
      <c r="V817" s="76"/>
      <c r="W817" s="76"/>
      <c r="X817" s="76"/>
      <c r="Y817" s="76"/>
      <c r="Z817" s="77"/>
      <c r="AA817" s="77"/>
      <c r="AB817" s="77"/>
      <c r="AC817" s="77"/>
      <c r="AD817" s="77"/>
      <c r="AE817" s="77"/>
      <c r="AF817" s="77"/>
      <c r="AG817" s="77"/>
      <c r="AH817" s="78"/>
      <c r="AI817" s="78"/>
      <c r="AJ817" s="78"/>
      <c r="AK817" s="78"/>
      <c r="AL817" s="78"/>
      <c r="AM817" s="78"/>
      <c r="AN817" s="76"/>
      <c r="AO817" s="76"/>
      <c r="AP817" s="76"/>
      <c r="AQ817" s="76"/>
      <c r="AR817" s="76"/>
      <c r="AS817" s="76"/>
      <c r="AT817" s="76"/>
      <c r="AU817" s="76"/>
      <c r="AV817" s="76"/>
      <c r="AW817" s="79"/>
      <c r="AX817" s="79"/>
      <c r="AY817" s="79"/>
      <c r="AZ817" s="79"/>
      <c r="BA817" s="79"/>
      <c r="BB817" s="11"/>
      <c r="BC817" s="11"/>
      <c r="BD817" s="11"/>
      <c r="BE817" s="73"/>
      <c r="BF817" s="73"/>
      <c r="BG817" s="73"/>
      <c r="BH817" s="77"/>
      <c r="BI817" s="77"/>
      <c r="BJ817" s="77"/>
      <c r="BK817" s="77"/>
      <c r="BL817" s="77"/>
      <c r="BM817" s="77"/>
      <c r="BN817" s="158"/>
      <c r="BO817" s="158"/>
    </row>
    <row r="818" spans="1:67" ht="15" x14ac:dyDescent="0.25">
      <c r="A818" s="71"/>
      <c r="B818" s="11"/>
      <c r="C818" s="11"/>
      <c r="D818" s="11"/>
      <c r="E818" s="11"/>
      <c r="F818" s="11"/>
      <c r="G818" s="11"/>
      <c r="H818" s="11"/>
      <c r="I818" s="11"/>
      <c r="J818" s="249"/>
      <c r="K818" s="72"/>
      <c r="L818" s="73"/>
      <c r="M818" s="73"/>
      <c r="N818" s="74"/>
      <c r="O818" s="75"/>
      <c r="P818" s="73"/>
      <c r="Q818" s="76"/>
      <c r="R818" s="76"/>
      <c r="S818" s="76"/>
      <c r="T818" s="76"/>
      <c r="U818" s="76"/>
      <c r="V818" s="76"/>
      <c r="W818" s="76"/>
      <c r="X818" s="76"/>
      <c r="Y818" s="76"/>
      <c r="Z818" s="77"/>
      <c r="AA818" s="77"/>
      <c r="AB818" s="77"/>
      <c r="AC818" s="77"/>
      <c r="AD818" s="77"/>
      <c r="AE818" s="77"/>
      <c r="AF818" s="77"/>
      <c r="AG818" s="77"/>
      <c r="AH818" s="78"/>
      <c r="AI818" s="78"/>
      <c r="AJ818" s="78"/>
      <c r="AK818" s="78"/>
      <c r="AL818" s="78"/>
      <c r="AM818" s="78"/>
      <c r="AN818" s="76"/>
      <c r="AO818" s="76"/>
      <c r="AP818" s="76"/>
      <c r="AQ818" s="76"/>
      <c r="AR818" s="76"/>
      <c r="AS818" s="76"/>
      <c r="AT818" s="76"/>
      <c r="AU818" s="76"/>
      <c r="AV818" s="76"/>
      <c r="AW818" s="79"/>
      <c r="AX818" s="79"/>
      <c r="AY818" s="79"/>
      <c r="AZ818" s="79"/>
      <c r="BA818" s="79"/>
      <c r="BB818" s="11"/>
      <c r="BC818" s="11"/>
      <c r="BD818" s="11"/>
      <c r="BE818" s="73"/>
      <c r="BF818" s="73"/>
      <c r="BG818" s="73"/>
      <c r="BH818" s="77"/>
      <c r="BI818" s="77"/>
      <c r="BJ818" s="77"/>
      <c r="BK818" s="77"/>
      <c r="BL818" s="77"/>
      <c r="BM818" s="77"/>
      <c r="BN818" s="158"/>
      <c r="BO818" s="158"/>
    </row>
    <row r="819" spans="1:67" ht="15" x14ac:dyDescent="0.25">
      <c r="A819" s="71"/>
      <c r="B819" s="11"/>
      <c r="C819" s="11"/>
      <c r="D819" s="11"/>
      <c r="E819" s="11"/>
      <c r="F819" s="11"/>
      <c r="G819" s="11"/>
      <c r="H819" s="11"/>
      <c r="I819" s="11"/>
      <c r="J819" s="249"/>
      <c r="K819" s="72"/>
      <c r="L819" s="73"/>
      <c r="M819" s="73"/>
      <c r="N819" s="74"/>
      <c r="O819" s="75"/>
      <c r="P819" s="73"/>
      <c r="Q819" s="76"/>
      <c r="R819" s="76"/>
      <c r="S819" s="76"/>
      <c r="T819" s="76"/>
      <c r="U819" s="76"/>
      <c r="V819" s="76"/>
      <c r="W819" s="76"/>
      <c r="X819" s="76"/>
      <c r="Y819" s="76"/>
      <c r="Z819" s="77"/>
      <c r="AA819" s="77"/>
      <c r="AB819" s="77"/>
      <c r="AC819" s="77"/>
      <c r="AD819" s="77"/>
      <c r="AE819" s="77"/>
      <c r="AF819" s="77"/>
      <c r="AG819" s="77"/>
      <c r="AH819" s="78"/>
      <c r="AI819" s="78"/>
      <c r="AJ819" s="78"/>
      <c r="AK819" s="78"/>
      <c r="AL819" s="78"/>
      <c r="AM819" s="78"/>
      <c r="AN819" s="76"/>
      <c r="AO819" s="76"/>
      <c r="AP819" s="76"/>
      <c r="AQ819" s="76"/>
      <c r="AR819" s="76"/>
      <c r="AS819" s="76"/>
      <c r="AT819" s="76"/>
      <c r="AU819" s="76"/>
      <c r="AV819" s="76"/>
      <c r="AW819" s="79"/>
      <c r="AX819" s="79"/>
      <c r="AY819" s="79"/>
      <c r="AZ819" s="79"/>
      <c r="BA819" s="79"/>
      <c r="BB819" s="11"/>
      <c r="BC819" s="11"/>
      <c r="BD819" s="11"/>
      <c r="BE819" s="73"/>
      <c r="BF819" s="73"/>
      <c r="BG819" s="73"/>
      <c r="BH819" s="77"/>
      <c r="BI819" s="77"/>
      <c r="BJ819" s="77"/>
      <c r="BK819" s="77"/>
      <c r="BL819" s="77"/>
      <c r="BM819" s="77"/>
      <c r="BN819" s="158"/>
      <c r="BO819" s="158"/>
    </row>
    <row r="820" spans="1:67" ht="15" x14ac:dyDescent="0.25">
      <c r="A820" s="71"/>
      <c r="B820" s="11"/>
      <c r="C820" s="11"/>
      <c r="D820" s="11"/>
      <c r="E820" s="11"/>
      <c r="F820" s="11"/>
      <c r="G820" s="11"/>
      <c r="H820" s="11"/>
      <c r="I820" s="11"/>
      <c r="J820" s="249"/>
      <c r="K820" s="72"/>
      <c r="L820" s="73"/>
      <c r="M820" s="73"/>
      <c r="N820" s="74"/>
      <c r="O820" s="75"/>
      <c r="P820" s="73"/>
      <c r="Q820" s="76"/>
      <c r="R820" s="76"/>
      <c r="S820" s="76"/>
      <c r="T820" s="76"/>
      <c r="U820" s="76"/>
      <c r="V820" s="76"/>
      <c r="W820" s="76"/>
      <c r="X820" s="76"/>
      <c r="Y820" s="76"/>
      <c r="Z820" s="77"/>
      <c r="AA820" s="77"/>
      <c r="AB820" s="77"/>
      <c r="AC820" s="77"/>
      <c r="AD820" s="77"/>
      <c r="AE820" s="77"/>
      <c r="AF820" s="77"/>
      <c r="AG820" s="77"/>
      <c r="AH820" s="78"/>
      <c r="AI820" s="78"/>
      <c r="AJ820" s="78"/>
      <c r="AK820" s="78"/>
      <c r="AL820" s="78"/>
      <c r="AM820" s="78"/>
      <c r="AN820" s="76"/>
      <c r="AO820" s="76"/>
      <c r="AP820" s="76"/>
      <c r="AQ820" s="76"/>
      <c r="AR820" s="76"/>
      <c r="AS820" s="76"/>
      <c r="AT820" s="76"/>
      <c r="AU820" s="76"/>
      <c r="AV820" s="76"/>
      <c r="AW820" s="79"/>
      <c r="AX820" s="79"/>
      <c r="AY820" s="79"/>
      <c r="AZ820" s="79"/>
      <c r="BA820" s="79"/>
      <c r="BB820" s="11"/>
      <c r="BC820" s="11"/>
      <c r="BD820" s="11"/>
      <c r="BE820" s="73"/>
      <c r="BF820" s="73"/>
      <c r="BG820" s="73"/>
      <c r="BH820" s="77"/>
      <c r="BI820" s="77"/>
      <c r="BJ820" s="77"/>
      <c r="BK820" s="77"/>
      <c r="BL820" s="77"/>
      <c r="BM820" s="77"/>
      <c r="BN820" s="158"/>
      <c r="BO820" s="158"/>
    </row>
    <row r="821" spans="1:67" ht="15" x14ac:dyDescent="0.25">
      <c r="A821" s="71"/>
      <c r="B821" s="11"/>
      <c r="C821" s="11"/>
      <c r="D821" s="11"/>
      <c r="E821" s="11"/>
      <c r="F821" s="11"/>
      <c r="G821" s="11"/>
      <c r="H821" s="11"/>
      <c r="I821" s="11"/>
      <c r="J821" s="249"/>
      <c r="K821" s="72"/>
      <c r="L821" s="73"/>
      <c r="M821" s="73"/>
      <c r="N821" s="74"/>
      <c r="O821" s="75"/>
      <c r="P821" s="73"/>
      <c r="Q821" s="76"/>
      <c r="R821" s="76"/>
      <c r="S821" s="76"/>
      <c r="T821" s="76"/>
      <c r="U821" s="76"/>
      <c r="V821" s="76"/>
      <c r="W821" s="76"/>
      <c r="X821" s="76"/>
      <c r="Y821" s="76"/>
      <c r="Z821" s="77"/>
      <c r="AA821" s="77"/>
      <c r="AB821" s="77"/>
      <c r="AC821" s="77"/>
      <c r="AD821" s="77"/>
      <c r="AE821" s="77"/>
      <c r="AF821" s="77"/>
      <c r="AG821" s="77"/>
      <c r="AH821" s="78"/>
      <c r="AI821" s="78"/>
      <c r="AJ821" s="78"/>
      <c r="AK821" s="78"/>
      <c r="AL821" s="78"/>
      <c r="AM821" s="78"/>
      <c r="AN821" s="76"/>
      <c r="AO821" s="76"/>
      <c r="AP821" s="76"/>
      <c r="AQ821" s="76"/>
      <c r="AR821" s="76"/>
      <c r="AS821" s="76"/>
      <c r="AT821" s="76"/>
      <c r="AU821" s="76"/>
      <c r="AV821" s="76"/>
      <c r="AW821" s="79"/>
      <c r="AX821" s="79"/>
      <c r="AY821" s="79"/>
      <c r="AZ821" s="79"/>
      <c r="BA821" s="79"/>
      <c r="BB821" s="11"/>
      <c r="BC821" s="11"/>
      <c r="BD821" s="11"/>
      <c r="BE821" s="73"/>
      <c r="BF821" s="73"/>
      <c r="BG821" s="73"/>
      <c r="BH821" s="77"/>
      <c r="BI821" s="77"/>
      <c r="BJ821" s="77"/>
      <c r="BK821" s="77"/>
      <c r="BL821" s="77"/>
      <c r="BM821" s="77"/>
      <c r="BN821" s="158"/>
      <c r="BO821" s="158"/>
    </row>
    <row r="822" spans="1:67" ht="15" x14ac:dyDescent="0.25">
      <c r="A822" s="71"/>
      <c r="B822" s="11"/>
      <c r="C822" s="11"/>
      <c r="D822" s="11"/>
      <c r="E822" s="11"/>
      <c r="F822" s="11"/>
      <c r="G822" s="11"/>
      <c r="H822" s="11"/>
      <c r="I822" s="11"/>
      <c r="J822" s="249"/>
      <c r="K822" s="72"/>
      <c r="L822" s="73"/>
      <c r="M822" s="73"/>
      <c r="N822" s="74"/>
      <c r="O822" s="75"/>
      <c r="P822" s="73"/>
      <c r="Q822" s="76"/>
      <c r="R822" s="76"/>
      <c r="S822" s="76"/>
      <c r="T822" s="76"/>
      <c r="U822" s="76"/>
      <c r="V822" s="76"/>
      <c r="W822" s="76"/>
      <c r="X822" s="76"/>
      <c r="Y822" s="76"/>
      <c r="Z822" s="77"/>
      <c r="AA822" s="77"/>
      <c r="AB822" s="77"/>
      <c r="AC822" s="77"/>
      <c r="AD822" s="77"/>
      <c r="AE822" s="77"/>
      <c r="AF822" s="77"/>
      <c r="AG822" s="77"/>
      <c r="AH822" s="78"/>
      <c r="AI822" s="78"/>
      <c r="AJ822" s="78"/>
      <c r="AK822" s="78"/>
      <c r="AL822" s="78"/>
      <c r="AM822" s="78"/>
      <c r="AN822" s="76"/>
      <c r="AO822" s="76"/>
      <c r="AP822" s="76"/>
      <c r="AQ822" s="76"/>
      <c r="AR822" s="76"/>
      <c r="AS822" s="76"/>
      <c r="AT822" s="76"/>
      <c r="AU822" s="76"/>
      <c r="AV822" s="76"/>
      <c r="AW822" s="79"/>
      <c r="AX822" s="79"/>
      <c r="AY822" s="79"/>
      <c r="AZ822" s="79"/>
      <c r="BA822" s="79"/>
      <c r="BB822" s="11"/>
      <c r="BC822" s="11"/>
      <c r="BD822" s="11"/>
      <c r="BE822" s="73"/>
      <c r="BF822" s="73"/>
      <c r="BG822" s="73"/>
      <c r="BH822" s="77"/>
      <c r="BI822" s="77"/>
      <c r="BJ822" s="77"/>
      <c r="BK822" s="77"/>
      <c r="BL822" s="77"/>
      <c r="BM822" s="77"/>
      <c r="BN822" s="158"/>
      <c r="BO822" s="158"/>
    </row>
    <row r="823" spans="1:67" ht="15" x14ac:dyDescent="0.25">
      <c r="A823" s="71"/>
      <c r="B823" s="11"/>
      <c r="C823" s="11"/>
      <c r="D823" s="11"/>
      <c r="E823" s="11"/>
      <c r="F823" s="11"/>
      <c r="G823" s="11"/>
      <c r="H823" s="11"/>
      <c r="I823" s="11"/>
      <c r="J823" s="249"/>
      <c r="K823" s="72"/>
      <c r="L823" s="73"/>
      <c r="M823" s="73"/>
      <c r="N823" s="74"/>
      <c r="O823" s="75"/>
      <c r="P823" s="73"/>
      <c r="Q823" s="76"/>
      <c r="R823" s="76"/>
      <c r="S823" s="76"/>
      <c r="T823" s="76"/>
      <c r="U823" s="76"/>
      <c r="V823" s="76"/>
      <c r="W823" s="76"/>
      <c r="X823" s="76"/>
      <c r="Y823" s="76"/>
      <c r="Z823" s="77"/>
      <c r="AA823" s="77"/>
      <c r="AB823" s="77"/>
      <c r="AC823" s="77"/>
      <c r="AD823" s="77"/>
      <c r="AE823" s="77"/>
      <c r="AF823" s="77"/>
      <c r="AG823" s="77"/>
      <c r="AH823" s="78"/>
      <c r="AI823" s="78"/>
      <c r="AJ823" s="78"/>
      <c r="AK823" s="78"/>
      <c r="AL823" s="78"/>
      <c r="AM823" s="78"/>
      <c r="AN823" s="76"/>
      <c r="AO823" s="76"/>
      <c r="AP823" s="76"/>
      <c r="AQ823" s="76"/>
      <c r="AR823" s="76"/>
      <c r="AS823" s="76"/>
      <c r="AT823" s="76"/>
      <c r="AU823" s="76"/>
      <c r="AV823" s="76"/>
      <c r="AW823" s="79"/>
      <c r="AX823" s="79"/>
      <c r="AY823" s="79"/>
      <c r="AZ823" s="79"/>
      <c r="BA823" s="79"/>
      <c r="BB823" s="11"/>
      <c r="BC823" s="11"/>
      <c r="BD823" s="11"/>
      <c r="BE823" s="73"/>
      <c r="BF823" s="73"/>
      <c r="BG823" s="73"/>
      <c r="BH823" s="77"/>
      <c r="BI823" s="77"/>
      <c r="BJ823" s="77"/>
      <c r="BK823" s="77"/>
      <c r="BL823" s="77"/>
      <c r="BM823" s="77"/>
      <c r="BN823" s="158"/>
      <c r="BO823" s="158"/>
    </row>
    <row r="824" spans="1:67" ht="15" x14ac:dyDescent="0.25">
      <c r="A824" s="71"/>
      <c r="B824" s="11"/>
      <c r="C824" s="11"/>
      <c r="D824" s="11"/>
      <c r="E824" s="11"/>
      <c r="F824" s="11"/>
      <c r="G824" s="11"/>
      <c r="H824" s="11"/>
      <c r="I824" s="11"/>
      <c r="J824" s="249"/>
      <c r="K824" s="72"/>
      <c r="L824" s="73"/>
      <c r="M824" s="73"/>
      <c r="N824" s="74"/>
      <c r="O824" s="75"/>
      <c r="P824" s="73"/>
      <c r="Q824" s="76"/>
      <c r="R824" s="76"/>
      <c r="S824" s="76"/>
      <c r="T824" s="76"/>
      <c r="U824" s="76"/>
      <c r="V824" s="76"/>
      <c r="W824" s="76"/>
      <c r="X824" s="76"/>
      <c r="Y824" s="76"/>
      <c r="Z824" s="77"/>
      <c r="AA824" s="77"/>
      <c r="AB824" s="77"/>
      <c r="AC824" s="77"/>
      <c r="AD824" s="77"/>
      <c r="AE824" s="77"/>
      <c r="AF824" s="77"/>
      <c r="AG824" s="77"/>
      <c r="AH824" s="78"/>
      <c r="AI824" s="78"/>
      <c r="AJ824" s="78"/>
      <c r="AK824" s="78"/>
      <c r="AL824" s="78"/>
      <c r="AM824" s="78"/>
      <c r="AN824" s="76"/>
      <c r="AO824" s="76"/>
      <c r="AP824" s="76"/>
      <c r="AQ824" s="76"/>
      <c r="AR824" s="76"/>
      <c r="AS824" s="76"/>
      <c r="AT824" s="76"/>
      <c r="AU824" s="76"/>
      <c r="AV824" s="76"/>
      <c r="AW824" s="79"/>
      <c r="AX824" s="79"/>
      <c r="AY824" s="79"/>
      <c r="AZ824" s="79"/>
      <c r="BA824" s="79"/>
      <c r="BB824" s="11"/>
      <c r="BC824" s="11"/>
      <c r="BD824" s="11"/>
      <c r="BE824" s="73"/>
      <c r="BF824" s="73"/>
      <c r="BG824" s="73"/>
      <c r="BH824" s="77"/>
      <c r="BI824" s="77"/>
      <c r="BJ824" s="77"/>
      <c r="BK824" s="77"/>
      <c r="BL824" s="77"/>
      <c r="BM824" s="77"/>
      <c r="BN824" s="158"/>
      <c r="BO824" s="158"/>
    </row>
    <row r="825" spans="1:67" ht="15" x14ac:dyDescent="0.25">
      <c r="A825" s="71"/>
      <c r="B825" s="11"/>
      <c r="C825" s="11"/>
      <c r="D825" s="11"/>
      <c r="E825" s="11"/>
      <c r="F825" s="11"/>
      <c r="G825" s="11"/>
      <c r="H825" s="11"/>
      <c r="I825" s="11"/>
      <c r="J825" s="249"/>
      <c r="K825" s="72"/>
      <c r="L825" s="73"/>
      <c r="M825" s="73"/>
      <c r="N825" s="74"/>
      <c r="O825" s="75"/>
      <c r="P825" s="73"/>
      <c r="Q825" s="76"/>
      <c r="R825" s="76"/>
      <c r="S825" s="76"/>
      <c r="T825" s="76"/>
      <c r="U825" s="76"/>
      <c r="V825" s="76"/>
      <c r="W825" s="76"/>
      <c r="X825" s="76"/>
      <c r="Y825" s="76"/>
      <c r="Z825" s="77"/>
      <c r="AA825" s="77"/>
      <c r="AB825" s="77"/>
      <c r="AC825" s="77"/>
      <c r="AD825" s="77"/>
      <c r="AE825" s="77"/>
      <c r="AF825" s="77"/>
      <c r="AG825" s="77"/>
      <c r="AH825" s="78"/>
      <c r="AI825" s="78"/>
      <c r="AJ825" s="78"/>
      <c r="AK825" s="78"/>
      <c r="AL825" s="78"/>
      <c r="AM825" s="78"/>
      <c r="AN825" s="76"/>
      <c r="AO825" s="76"/>
      <c r="AP825" s="76"/>
      <c r="AQ825" s="76"/>
      <c r="AR825" s="76"/>
      <c r="AS825" s="76"/>
      <c r="AT825" s="76"/>
      <c r="AU825" s="76"/>
      <c r="AV825" s="76"/>
      <c r="AW825" s="79"/>
      <c r="AX825" s="79"/>
      <c r="AY825" s="79"/>
      <c r="AZ825" s="79"/>
      <c r="BA825" s="79"/>
      <c r="BB825" s="11"/>
      <c r="BC825" s="11"/>
      <c r="BD825" s="11"/>
      <c r="BE825" s="73"/>
      <c r="BF825" s="73"/>
      <c r="BG825" s="73"/>
      <c r="BH825" s="77"/>
      <c r="BI825" s="77"/>
      <c r="BJ825" s="77"/>
      <c r="BK825" s="77"/>
      <c r="BL825" s="77"/>
      <c r="BM825" s="77"/>
      <c r="BN825" s="158"/>
      <c r="BO825" s="158"/>
    </row>
    <row r="826" spans="1:67" ht="15" x14ac:dyDescent="0.25">
      <c r="A826" s="71"/>
      <c r="B826" s="11"/>
      <c r="C826" s="11"/>
      <c r="D826" s="11"/>
      <c r="E826" s="11"/>
      <c r="F826" s="11"/>
      <c r="G826" s="11"/>
      <c r="H826" s="11"/>
      <c r="I826" s="11"/>
      <c r="J826" s="249"/>
      <c r="K826" s="72"/>
      <c r="L826" s="73"/>
      <c r="M826" s="73"/>
      <c r="N826" s="74"/>
      <c r="O826" s="75"/>
      <c r="P826" s="73"/>
      <c r="Q826" s="76"/>
      <c r="R826" s="76"/>
      <c r="S826" s="76"/>
      <c r="T826" s="76"/>
      <c r="U826" s="76"/>
      <c r="V826" s="76"/>
      <c r="W826" s="76"/>
      <c r="X826" s="76"/>
      <c r="Y826" s="76"/>
      <c r="Z826" s="77"/>
      <c r="AA826" s="77"/>
      <c r="AB826" s="77"/>
      <c r="AC826" s="77"/>
      <c r="AD826" s="77"/>
      <c r="AE826" s="77"/>
      <c r="AF826" s="77"/>
      <c r="AG826" s="77"/>
      <c r="AH826" s="78"/>
      <c r="AI826" s="78"/>
      <c r="AJ826" s="78"/>
      <c r="AK826" s="78"/>
      <c r="AL826" s="78"/>
      <c r="AM826" s="78"/>
      <c r="AN826" s="76"/>
      <c r="AO826" s="76"/>
      <c r="AP826" s="76"/>
      <c r="AQ826" s="76"/>
      <c r="AR826" s="76"/>
      <c r="AS826" s="76"/>
      <c r="AT826" s="76"/>
      <c r="AU826" s="76"/>
      <c r="AV826" s="76"/>
      <c r="AW826" s="79"/>
      <c r="AX826" s="79"/>
      <c r="AY826" s="79"/>
      <c r="AZ826" s="79"/>
      <c r="BA826" s="79"/>
      <c r="BB826" s="11"/>
      <c r="BC826" s="11"/>
      <c r="BD826" s="11"/>
      <c r="BE826" s="73"/>
      <c r="BF826" s="73"/>
      <c r="BG826" s="73"/>
      <c r="BH826" s="77"/>
      <c r="BI826" s="77"/>
      <c r="BJ826" s="77"/>
      <c r="BK826" s="77"/>
      <c r="BL826" s="77"/>
      <c r="BM826" s="77"/>
      <c r="BN826" s="158"/>
      <c r="BO826" s="158"/>
    </row>
    <row r="827" spans="1:67" ht="15" x14ac:dyDescent="0.25">
      <c r="A827" s="71"/>
      <c r="B827" s="11"/>
      <c r="C827" s="11"/>
      <c r="D827" s="11"/>
      <c r="E827" s="11"/>
      <c r="F827" s="11"/>
      <c r="G827" s="11"/>
      <c r="H827" s="11"/>
      <c r="I827" s="11"/>
      <c r="J827" s="249"/>
      <c r="K827" s="72"/>
      <c r="L827" s="73"/>
      <c r="M827" s="73"/>
      <c r="N827" s="74"/>
      <c r="O827" s="75"/>
      <c r="P827" s="73"/>
      <c r="Q827" s="76"/>
      <c r="R827" s="76"/>
      <c r="S827" s="76"/>
      <c r="T827" s="76"/>
      <c r="U827" s="76"/>
      <c r="V827" s="76"/>
      <c r="W827" s="76"/>
      <c r="X827" s="76"/>
      <c r="Y827" s="76"/>
      <c r="Z827" s="77"/>
      <c r="AA827" s="77"/>
      <c r="AB827" s="77"/>
      <c r="AC827" s="77"/>
      <c r="AD827" s="77"/>
      <c r="AE827" s="77"/>
      <c r="AF827" s="77"/>
      <c r="AG827" s="77"/>
      <c r="AH827" s="78"/>
      <c r="AI827" s="78"/>
      <c r="AJ827" s="78"/>
      <c r="AK827" s="78"/>
      <c r="AL827" s="78"/>
      <c r="AM827" s="78"/>
      <c r="AN827" s="76"/>
      <c r="AO827" s="76"/>
      <c r="AP827" s="76"/>
      <c r="AQ827" s="76"/>
      <c r="AR827" s="76"/>
      <c r="AS827" s="76"/>
      <c r="AT827" s="76"/>
      <c r="AU827" s="76"/>
      <c r="AV827" s="76"/>
      <c r="AW827" s="79"/>
      <c r="AX827" s="79"/>
      <c r="AY827" s="79"/>
      <c r="AZ827" s="79"/>
      <c r="BA827" s="79"/>
      <c r="BB827" s="11"/>
      <c r="BC827" s="11"/>
      <c r="BD827" s="11"/>
      <c r="BE827" s="73"/>
      <c r="BF827" s="73"/>
      <c r="BG827" s="73"/>
      <c r="BH827" s="77"/>
      <c r="BI827" s="77"/>
      <c r="BJ827" s="77"/>
      <c r="BK827" s="77"/>
      <c r="BL827" s="77"/>
      <c r="BM827" s="77"/>
      <c r="BN827" s="158"/>
      <c r="BO827" s="158"/>
    </row>
    <row r="828" spans="1:67" ht="15" x14ac:dyDescent="0.25">
      <c r="A828" s="71"/>
      <c r="B828" s="11"/>
      <c r="C828" s="11"/>
      <c r="D828" s="11"/>
      <c r="E828" s="11"/>
      <c r="F828" s="11"/>
      <c r="G828" s="11"/>
      <c r="H828" s="11"/>
      <c r="I828" s="11"/>
      <c r="J828" s="249"/>
      <c r="K828" s="72"/>
      <c r="L828" s="73"/>
      <c r="M828" s="73"/>
      <c r="N828" s="74"/>
      <c r="O828" s="75"/>
      <c r="P828" s="73"/>
      <c r="Q828" s="76"/>
      <c r="R828" s="76"/>
      <c r="S828" s="76"/>
      <c r="T828" s="76"/>
      <c r="U828" s="76"/>
      <c r="V828" s="76"/>
      <c r="W828" s="76"/>
      <c r="X828" s="76"/>
      <c r="Y828" s="76"/>
      <c r="Z828" s="77"/>
      <c r="AA828" s="77"/>
      <c r="AB828" s="77"/>
      <c r="AC828" s="77"/>
      <c r="AD828" s="77"/>
      <c r="AE828" s="77"/>
      <c r="AF828" s="77"/>
      <c r="AG828" s="77"/>
      <c r="AH828" s="78"/>
      <c r="AI828" s="78"/>
      <c r="AJ828" s="78"/>
      <c r="AK828" s="78"/>
      <c r="AL828" s="78"/>
      <c r="AM828" s="78"/>
      <c r="AN828" s="76"/>
      <c r="AO828" s="76"/>
      <c r="AP828" s="76"/>
      <c r="AQ828" s="76"/>
      <c r="AR828" s="76"/>
      <c r="AS828" s="76"/>
      <c r="AT828" s="76"/>
      <c r="AU828" s="76"/>
      <c r="AV828" s="76"/>
      <c r="AW828" s="79"/>
      <c r="AX828" s="79"/>
      <c r="AY828" s="79"/>
      <c r="AZ828" s="79"/>
      <c r="BA828" s="79"/>
      <c r="BB828" s="11"/>
      <c r="BC828" s="11"/>
      <c r="BD828" s="11"/>
      <c r="BE828" s="73"/>
      <c r="BF828" s="73"/>
      <c r="BG828" s="73"/>
      <c r="BH828" s="77"/>
      <c r="BI828" s="77"/>
      <c r="BJ828" s="77"/>
      <c r="BK828" s="77"/>
      <c r="BL828" s="77"/>
      <c r="BM828" s="77"/>
      <c r="BN828" s="158"/>
      <c r="BO828" s="158"/>
    </row>
    <row r="829" spans="1:67" ht="15" x14ac:dyDescent="0.25">
      <c r="A829" s="71"/>
      <c r="B829" s="11"/>
      <c r="C829" s="11"/>
      <c r="D829" s="11"/>
      <c r="E829" s="11"/>
      <c r="F829" s="11"/>
      <c r="G829" s="11"/>
      <c r="H829" s="11"/>
      <c r="I829" s="11"/>
      <c r="J829" s="249"/>
      <c r="K829" s="72"/>
      <c r="L829" s="73"/>
      <c r="M829" s="73"/>
      <c r="N829" s="74"/>
      <c r="O829" s="75"/>
      <c r="P829" s="73"/>
      <c r="Q829" s="76"/>
      <c r="R829" s="76"/>
      <c r="S829" s="76"/>
      <c r="T829" s="76"/>
      <c r="U829" s="76"/>
      <c r="V829" s="76"/>
      <c r="W829" s="76"/>
      <c r="X829" s="76"/>
      <c r="Y829" s="76"/>
      <c r="Z829" s="77"/>
      <c r="AA829" s="77"/>
      <c r="AB829" s="77"/>
      <c r="AC829" s="77"/>
      <c r="AD829" s="77"/>
      <c r="AE829" s="77"/>
      <c r="AF829" s="77"/>
      <c r="AG829" s="77"/>
      <c r="AH829" s="78"/>
      <c r="AI829" s="78"/>
      <c r="AJ829" s="78"/>
      <c r="AK829" s="78"/>
      <c r="AL829" s="78"/>
      <c r="AM829" s="78"/>
      <c r="AN829" s="76"/>
      <c r="AO829" s="76"/>
      <c r="AP829" s="76"/>
      <c r="AQ829" s="76"/>
      <c r="AR829" s="76"/>
      <c r="AS829" s="76"/>
      <c r="AT829" s="76"/>
      <c r="AU829" s="76"/>
      <c r="AV829" s="76"/>
      <c r="AW829" s="79"/>
      <c r="AX829" s="79"/>
      <c r="AY829" s="79"/>
      <c r="AZ829" s="79"/>
      <c r="BA829" s="79"/>
      <c r="BB829" s="11"/>
      <c r="BC829" s="11"/>
      <c r="BD829" s="11"/>
      <c r="BE829" s="73"/>
      <c r="BF829" s="73"/>
      <c r="BG829" s="73"/>
      <c r="BH829" s="77"/>
      <c r="BI829" s="77"/>
      <c r="BJ829" s="77"/>
      <c r="BK829" s="77"/>
      <c r="BL829" s="77"/>
      <c r="BM829" s="77"/>
      <c r="BN829" s="158"/>
      <c r="BO829" s="158"/>
    </row>
    <row r="830" spans="1:67" ht="15" x14ac:dyDescent="0.25">
      <c r="A830" s="71"/>
      <c r="B830" s="11"/>
      <c r="C830" s="11"/>
      <c r="D830" s="11"/>
      <c r="E830" s="11"/>
      <c r="F830" s="11"/>
      <c r="G830" s="11"/>
      <c r="H830" s="11"/>
      <c r="I830" s="11"/>
      <c r="J830" s="249"/>
      <c r="K830" s="72"/>
      <c r="L830" s="73"/>
      <c r="M830" s="73"/>
      <c r="N830" s="74"/>
      <c r="O830" s="75"/>
      <c r="P830" s="73"/>
      <c r="Q830" s="76"/>
      <c r="R830" s="76"/>
      <c r="S830" s="76"/>
      <c r="T830" s="76"/>
      <c r="U830" s="76"/>
      <c r="V830" s="76"/>
      <c r="W830" s="76"/>
      <c r="X830" s="76"/>
      <c r="Y830" s="76"/>
      <c r="Z830" s="77"/>
      <c r="AA830" s="77"/>
      <c r="AB830" s="77"/>
      <c r="AC830" s="77"/>
      <c r="AD830" s="77"/>
      <c r="AE830" s="77"/>
      <c r="AF830" s="77"/>
      <c r="AG830" s="77"/>
      <c r="AH830" s="78"/>
      <c r="AI830" s="78"/>
      <c r="AJ830" s="78"/>
      <c r="AK830" s="78"/>
      <c r="AL830" s="78"/>
      <c r="AM830" s="78"/>
      <c r="AN830" s="76"/>
      <c r="AO830" s="76"/>
      <c r="AP830" s="76"/>
      <c r="AQ830" s="76"/>
      <c r="AR830" s="76"/>
      <c r="AS830" s="76"/>
      <c r="AT830" s="76"/>
      <c r="AU830" s="76"/>
      <c r="AV830" s="76"/>
      <c r="AW830" s="79"/>
      <c r="AX830" s="79"/>
      <c r="AY830" s="79"/>
      <c r="AZ830" s="79"/>
      <c r="BA830" s="79"/>
      <c r="BB830" s="11"/>
      <c r="BC830" s="11"/>
      <c r="BD830" s="11"/>
      <c r="BE830" s="73"/>
      <c r="BF830" s="73"/>
      <c r="BG830" s="73"/>
      <c r="BH830" s="77"/>
      <c r="BI830" s="77"/>
      <c r="BJ830" s="77"/>
      <c r="BK830" s="77"/>
      <c r="BL830" s="77"/>
      <c r="BM830" s="77"/>
      <c r="BN830" s="158"/>
      <c r="BO830" s="158"/>
    </row>
    <row r="831" spans="1:67" ht="15" x14ac:dyDescent="0.25">
      <c r="A831" s="71"/>
      <c r="B831" s="11"/>
      <c r="C831" s="11"/>
      <c r="D831" s="11"/>
      <c r="E831" s="11"/>
      <c r="F831" s="11"/>
      <c r="G831" s="11"/>
      <c r="H831" s="11"/>
      <c r="I831" s="11"/>
      <c r="J831" s="249"/>
      <c r="K831" s="72"/>
      <c r="L831" s="73"/>
      <c r="M831" s="73"/>
      <c r="N831" s="74"/>
      <c r="O831" s="75"/>
      <c r="P831" s="73"/>
      <c r="Q831" s="76"/>
      <c r="R831" s="76"/>
      <c r="S831" s="76"/>
      <c r="T831" s="76"/>
      <c r="U831" s="76"/>
      <c r="V831" s="76"/>
      <c r="W831" s="76"/>
      <c r="X831" s="76"/>
      <c r="Y831" s="76"/>
      <c r="Z831" s="77"/>
      <c r="AA831" s="77"/>
      <c r="AB831" s="77"/>
      <c r="AC831" s="77"/>
      <c r="AD831" s="77"/>
      <c r="AE831" s="77"/>
      <c r="AF831" s="77"/>
      <c r="AG831" s="77"/>
      <c r="AH831" s="78"/>
      <c r="AI831" s="78"/>
      <c r="AJ831" s="78"/>
      <c r="AK831" s="78"/>
      <c r="AL831" s="78"/>
      <c r="AM831" s="78"/>
      <c r="AN831" s="76"/>
      <c r="AO831" s="76"/>
      <c r="AP831" s="76"/>
      <c r="AQ831" s="76"/>
      <c r="AR831" s="76"/>
      <c r="AS831" s="76"/>
      <c r="AT831" s="76"/>
      <c r="AU831" s="76"/>
      <c r="AV831" s="76"/>
      <c r="AW831" s="79"/>
      <c r="AX831" s="79"/>
      <c r="AY831" s="79"/>
      <c r="AZ831" s="79"/>
      <c r="BA831" s="79"/>
      <c r="BB831" s="11"/>
      <c r="BC831" s="11"/>
      <c r="BD831" s="11"/>
      <c r="BE831" s="73"/>
      <c r="BF831" s="73"/>
      <c r="BG831" s="73"/>
      <c r="BH831" s="77"/>
      <c r="BI831" s="77"/>
      <c r="BJ831" s="77"/>
      <c r="BK831" s="77"/>
      <c r="BL831" s="77"/>
      <c r="BM831" s="77"/>
      <c r="BN831" s="158"/>
      <c r="BO831" s="158"/>
    </row>
    <row r="832" spans="1:67" ht="15" x14ac:dyDescent="0.25">
      <c r="A832" s="71"/>
      <c r="B832" s="11"/>
      <c r="C832" s="11"/>
      <c r="D832" s="11"/>
      <c r="E832" s="11"/>
      <c r="F832" s="11"/>
      <c r="G832" s="11"/>
      <c r="H832" s="11"/>
      <c r="I832" s="11"/>
      <c r="J832" s="249"/>
      <c r="K832" s="72"/>
      <c r="L832" s="73"/>
      <c r="M832" s="73"/>
      <c r="N832" s="74"/>
      <c r="O832" s="75"/>
      <c r="P832" s="73"/>
      <c r="Q832" s="76"/>
      <c r="R832" s="76"/>
      <c r="S832" s="76"/>
      <c r="T832" s="76"/>
      <c r="U832" s="76"/>
      <c r="V832" s="76"/>
      <c r="W832" s="76"/>
      <c r="X832" s="76"/>
      <c r="Y832" s="76"/>
      <c r="Z832" s="77"/>
      <c r="AA832" s="77"/>
      <c r="AB832" s="77"/>
      <c r="AC832" s="77"/>
      <c r="AD832" s="77"/>
      <c r="AE832" s="77"/>
      <c r="AF832" s="77"/>
      <c r="AG832" s="77"/>
      <c r="AH832" s="78"/>
      <c r="AI832" s="78"/>
      <c r="AJ832" s="78"/>
      <c r="AK832" s="78"/>
      <c r="AL832" s="78"/>
      <c r="AM832" s="78"/>
      <c r="AN832" s="76"/>
      <c r="AO832" s="76"/>
      <c r="AP832" s="76"/>
      <c r="AQ832" s="76"/>
      <c r="AR832" s="76"/>
      <c r="AS832" s="76"/>
      <c r="AT832" s="76"/>
      <c r="AU832" s="76"/>
      <c r="AV832" s="76"/>
      <c r="AW832" s="79"/>
      <c r="AX832" s="79"/>
      <c r="AY832" s="79"/>
      <c r="AZ832" s="79"/>
      <c r="BA832" s="79"/>
      <c r="BB832" s="11"/>
      <c r="BC832" s="11"/>
      <c r="BD832" s="11"/>
      <c r="BE832" s="73"/>
      <c r="BF832" s="73"/>
      <c r="BG832" s="73"/>
      <c r="BH832" s="77"/>
      <c r="BI832" s="77"/>
      <c r="BJ832" s="77"/>
      <c r="BK832" s="77"/>
      <c r="BL832" s="77"/>
      <c r="BM832" s="77"/>
      <c r="BN832" s="158"/>
      <c r="BO832" s="158"/>
    </row>
    <row r="833" spans="1:67" ht="15" x14ac:dyDescent="0.25">
      <c r="A833" s="71"/>
      <c r="B833" s="11"/>
      <c r="C833" s="11"/>
      <c r="D833" s="11"/>
      <c r="E833" s="11"/>
      <c r="F833" s="11"/>
      <c r="G833" s="11"/>
      <c r="H833" s="11"/>
      <c r="I833" s="11"/>
      <c r="J833" s="249"/>
      <c r="K833" s="72"/>
      <c r="L833" s="73"/>
      <c r="M833" s="73"/>
      <c r="N833" s="74"/>
      <c r="O833" s="75"/>
      <c r="P833" s="73"/>
      <c r="Q833" s="76"/>
      <c r="R833" s="76"/>
      <c r="S833" s="76"/>
      <c r="T833" s="76"/>
      <c r="U833" s="76"/>
      <c r="V833" s="76"/>
      <c r="W833" s="76"/>
      <c r="X833" s="76"/>
      <c r="Y833" s="76"/>
      <c r="Z833" s="77"/>
      <c r="AA833" s="77"/>
      <c r="AB833" s="77"/>
      <c r="AC833" s="77"/>
      <c r="AD833" s="77"/>
      <c r="AE833" s="77"/>
      <c r="AF833" s="77"/>
      <c r="AG833" s="77"/>
      <c r="AH833" s="78"/>
      <c r="AI833" s="78"/>
      <c r="AJ833" s="78"/>
      <c r="AK833" s="78"/>
      <c r="AL833" s="78"/>
      <c r="AM833" s="78"/>
      <c r="AN833" s="76"/>
      <c r="AO833" s="76"/>
      <c r="AP833" s="76"/>
      <c r="AQ833" s="76"/>
      <c r="AR833" s="76"/>
      <c r="AS833" s="76"/>
      <c r="AT833" s="76"/>
      <c r="AU833" s="76"/>
      <c r="AV833" s="76"/>
      <c r="AW833" s="79"/>
      <c r="AX833" s="79"/>
      <c r="AY833" s="79"/>
      <c r="AZ833" s="79"/>
      <c r="BA833" s="79"/>
      <c r="BB833" s="11"/>
      <c r="BC833" s="11"/>
      <c r="BD833" s="11"/>
      <c r="BE833" s="73"/>
      <c r="BF833" s="73"/>
      <c r="BG833" s="73"/>
      <c r="BH833" s="77"/>
      <c r="BI833" s="77"/>
      <c r="BJ833" s="77"/>
      <c r="BK833" s="77"/>
      <c r="BL833" s="77"/>
      <c r="BM833" s="77"/>
      <c r="BN833" s="158"/>
      <c r="BO833" s="158"/>
    </row>
    <row r="834" spans="1:67" ht="15" x14ac:dyDescent="0.25">
      <c r="A834" s="71"/>
      <c r="B834" s="11"/>
      <c r="C834" s="11"/>
      <c r="D834" s="11"/>
      <c r="E834" s="11"/>
      <c r="F834" s="11"/>
      <c r="G834" s="11"/>
      <c r="H834" s="11"/>
      <c r="I834" s="11"/>
      <c r="J834" s="249"/>
      <c r="K834" s="72"/>
      <c r="L834" s="73"/>
      <c r="M834" s="73"/>
      <c r="N834" s="74"/>
      <c r="O834" s="75"/>
      <c r="P834" s="73"/>
      <c r="Q834" s="76"/>
      <c r="R834" s="76"/>
      <c r="S834" s="76"/>
      <c r="T834" s="76"/>
      <c r="U834" s="76"/>
      <c r="V834" s="76"/>
      <c r="W834" s="76"/>
      <c r="X834" s="76"/>
      <c r="Y834" s="76"/>
      <c r="Z834" s="77"/>
      <c r="AA834" s="77"/>
      <c r="AB834" s="77"/>
      <c r="AC834" s="77"/>
      <c r="AD834" s="77"/>
      <c r="AE834" s="77"/>
      <c r="AF834" s="77"/>
      <c r="AG834" s="77"/>
      <c r="AH834" s="78"/>
      <c r="AI834" s="78"/>
      <c r="AJ834" s="78"/>
      <c r="AK834" s="78"/>
      <c r="AL834" s="78"/>
      <c r="AM834" s="78"/>
      <c r="AN834" s="76"/>
      <c r="AO834" s="76"/>
      <c r="AP834" s="76"/>
      <c r="AQ834" s="76"/>
      <c r="AR834" s="76"/>
      <c r="AS834" s="76"/>
      <c r="AT834" s="76"/>
      <c r="AU834" s="76"/>
      <c r="AV834" s="76"/>
      <c r="AW834" s="79"/>
      <c r="AX834" s="79"/>
      <c r="AY834" s="79"/>
      <c r="AZ834" s="79"/>
      <c r="BA834" s="79"/>
      <c r="BB834" s="11"/>
      <c r="BC834" s="11"/>
      <c r="BD834" s="11"/>
      <c r="BE834" s="73"/>
      <c r="BF834" s="73"/>
      <c r="BG834" s="73"/>
      <c r="BH834" s="77"/>
      <c r="BI834" s="77"/>
      <c r="BJ834" s="77"/>
      <c r="BK834" s="77"/>
      <c r="BL834" s="77"/>
      <c r="BM834" s="77"/>
      <c r="BN834" s="158"/>
      <c r="BO834" s="158"/>
    </row>
    <row r="835" spans="1:67" ht="15" x14ac:dyDescent="0.25">
      <c r="A835" s="71"/>
      <c r="B835" s="11"/>
      <c r="C835" s="11"/>
      <c r="D835" s="11"/>
      <c r="E835" s="11"/>
      <c r="F835" s="11"/>
      <c r="G835" s="11"/>
      <c r="H835" s="11"/>
      <c r="I835" s="11"/>
      <c r="J835" s="249"/>
      <c r="K835" s="72"/>
      <c r="L835" s="73"/>
      <c r="M835" s="73"/>
      <c r="N835" s="74"/>
      <c r="O835" s="75"/>
      <c r="P835" s="73"/>
      <c r="Q835" s="76"/>
      <c r="R835" s="76"/>
      <c r="S835" s="76"/>
      <c r="T835" s="76"/>
      <c r="U835" s="76"/>
      <c r="V835" s="76"/>
      <c r="W835" s="76"/>
      <c r="X835" s="76"/>
      <c r="Y835" s="76"/>
      <c r="Z835" s="77"/>
      <c r="AA835" s="77"/>
      <c r="AB835" s="77"/>
      <c r="AC835" s="77"/>
      <c r="AD835" s="77"/>
      <c r="AE835" s="77"/>
      <c r="AF835" s="77"/>
      <c r="AG835" s="77"/>
      <c r="AH835" s="78"/>
      <c r="AI835" s="78"/>
      <c r="AJ835" s="78"/>
      <c r="AK835" s="78"/>
      <c r="AL835" s="78"/>
      <c r="AM835" s="78"/>
      <c r="AN835" s="76"/>
      <c r="AO835" s="76"/>
      <c r="AP835" s="76"/>
      <c r="AQ835" s="76"/>
      <c r="AR835" s="76"/>
      <c r="AS835" s="76"/>
      <c r="AT835" s="76"/>
      <c r="AU835" s="76"/>
      <c r="AV835" s="76"/>
      <c r="AW835" s="79"/>
      <c r="AX835" s="79"/>
      <c r="AY835" s="79"/>
      <c r="AZ835" s="79"/>
      <c r="BA835" s="79"/>
      <c r="BB835" s="11"/>
      <c r="BC835" s="11"/>
      <c r="BD835" s="11"/>
      <c r="BE835" s="73"/>
      <c r="BF835" s="73"/>
      <c r="BG835" s="73"/>
      <c r="BH835" s="77"/>
      <c r="BI835" s="77"/>
      <c r="BJ835" s="77"/>
      <c r="BK835" s="77"/>
      <c r="BL835" s="77"/>
      <c r="BM835" s="77"/>
      <c r="BN835" s="158"/>
      <c r="BO835" s="158"/>
    </row>
    <row r="836" spans="1:67" ht="15" x14ac:dyDescent="0.25">
      <c r="A836" s="71"/>
      <c r="B836" s="11"/>
      <c r="C836" s="11"/>
      <c r="D836" s="11"/>
      <c r="E836" s="11"/>
      <c r="F836" s="11"/>
      <c r="G836" s="11"/>
      <c r="H836" s="11"/>
      <c r="I836" s="11"/>
      <c r="J836" s="249"/>
      <c r="K836" s="72"/>
      <c r="L836" s="73"/>
      <c r="M836" s="73"/>
      <c r="N836" s="74"/>
      <c r="O836" s="75"/>
      <c r="P836" s="73"/>
      <c r="Q836" s="76"/>
      <c r="R836" s="76"/>
      <c r="S836" s="76"/>
      <c r="T836" s="76"/>
      <c r="U836" s="76"/>
      <c r="V836" s="76"/>
      <c r="W836" s="76"/>
      <c r="X836" s="76"/>
      <c r="Y836" s="76"/>
      <c r="Z836" s="77"/>
      <c r="AA836" s="77"/>
      <c r="AB836" s="77"/>
      <c r="AC836" s="77"/>
      <c r="AD836" s="77"/>
      <c r="AE836" s="77"/>
      <c r="AF836" s="77"/>
      <c r="AG836" s="77"/>
      <c r="AH836" s="78"/>
      <c r="AI836" s="78"/>
      <c r="AJ836" s="78"/>
      <c r="AK836" s="78"/>
      <c r="AL836" s="78"/>
      <c r="AM836" s="78"/>
      <c r="AN836" s="76"/>
      <c r="AO836" s="76"/>
      <c r="AP836" s="76"/>
      <c r="AQ836" s="76"/>
      <c r="AR836" s="76"/>
      <c r="AS836" s="76"/>
      <c r="AT836" s="76"/>
      <c r="AU836" s="76"/>
      <c r="AV836" s="76"/>
      <c r="AW836" s="79"/>
      <c r="AX836" s="79"/>
      <c r="AY836" s="79"/>
      <c r="AZ836" s="79"/>
      <c r="BA836" s="79"/>
      <c r="BB836" s="11"/>
      <c r="BC836" s="11"/>
      <c r="BD836" s="11"/>
      <c r="BE836" s="73"/>
      <c r="BF836" s="73"/>
      <c r="BG836" s="73"/>
      <c r="BH836" s="77"/>
      <c r="BI836" s="77"/>
      <c r="BJ836" s="77"/>
      <c r="BK836" s="77"/>
      <c r="BL836" s="77"/>
      <c r="BM836" s="77"/>
      <c r="BN836" s="158"/>
      <c r="BO836" s="158"/>
    </row>
    <row r="837" spans="1:67" ht="15" x14ac:dyDescent="0.25">
      <c r="A837" s="71"/>
      <c r="B837" s="11"/>
      <c r="C837" s="11"/>
      <c r="D837" s="11"/>
      <c r="E837" s="11"/>
      <c r="F837" s="11"/>
      <c r="G837" s="11"/>
      <c r="H837" s="11"/>
      <c r="I837" s="11"/>
      <c r="J837" s="249"/>
      <c r="K837" s="72"/>
      <c r="L837" s="73"/>
      <c r="M837" s="73"/>
      <c r="N837" s="74"/>
      <c r="O837" s="75"/>
      <c r="P837" s="73"/>
      <c r="Q837" s="76"/>
      <c r="R837" s="76"/>
      <c r="S837" s="76"/>
      <c r="T837" s="76"/>
      <c r="U837" s="76"/>
      <c r="V837" s="76"/>
      <c r="W837" s="76"/>
      <c r="X837" s="76"/>
      <c r="Y837" s="76"/>
      <c r="Z837" s="77"/>
      <c r="AA837" s="77"/>
      <c r="AB837" s="77"/>
      <c r="AC837" s="77"/>
      <c r="AD837" s="77"/>
      <c r="AE837" s="77"/>
      <c r="AF837" s="77"/>
      <c r="AG837" s="77"/>
      <c r="AH837" s="78"/>
      <c r="AI837" s="78"/>
      <c r="AJ837" s="78"/>
      <c r="AK837" s="78"/>
      <c r="AL837" s="78"/>
      <c r="AM837" s="78"/>
      <c r="AN837" s="76"/>
      <c r="AO837" s="76"/>
      <c r="AP837" s="76"/>
      <c r="AQ837" s="76"/>
      <c r="AR837" s="76"/>
      <c r="AS837" s="76"/>
      <c r="AT837" s="76"/>
      <c r="AU837" s="76"/>
      <c r="AV837" s="76"/>
      <c r="AW837" s="79"/>
      <c r="AX837" s="79"/>
      <c r="AY837" s="79"/>
      <c r="AZ837" s="79"/>
      <c r="BA837" s="79"/>
      <c r="BB837" s="11"/>
      <c r="BC837" s="11"/>
      <c r="BD837" s="11"/>
      <c r="BE837" s="73"/>
      <c r="BF837" s="73"/>
      <c r="BG837" s="73"/>
      <c r="BH837" s="77"/>
      <c r="BI837" s="77"/>
      <c r="BJ837" s="77"/>
      <c r="BK837" s="77"/>
      <c r="BL837" s="77"/>
      <c r="BM837" s="77"/>
      <c r="BN837" s="158"/>
      <c r="BO837" s="158"/>
    </row>
    <row r="838" spans="1:67" ht="15" x14ac:dyDescent="0.25">
      <c r="A838" s="71"/>
      <c r="B838" s="11"/>
      <c r="C838" s="11"/>
      <c r="D838" s="11"/>
      <c r="E838" s="11"/>
      <c r="F838" s="11"/>
      <c r="G838" s="11"/>
      <c r="H838" s="11"/>
      <c r="I838" s="11"/>
      <c r="J838" s="249"/>
      <c r="K838" s="72"/>
      <c r="L838" s="73"/>
      <c r="M838" s="73"/>
      <c r="N838" s="74"/>
      <c r="O838" s="75"/>
      <c r="P838" s="73"/>
      <c r="Q838" s="76"/>
      <c r="R838" s="76"/>
      <c r="S838" s="76"/>
      <c r="T838" s="76"/>
      <c r="U838" s="76"/>
      <c r="V838" s="76"/>
      <c r="W838" s="76"/>
      <c r="X838" s="76"/>
      <c r="Y838" s="76"/>
      <c r="Z838" s="77"/>
      <c r="AA838" s="77"/>
      <c r="AB838" s="77"/>
      <c r="AC838" s="77"/>
      <c r="AD838" s="77"/>
      <c r="AE838" s="77"/>
      <c r="AF838" s="77"/>
      <c r="AG838" s="77"/>
      <c r="AH838" s="78"/>
      <c r="AI838" s="78"/>
      <c r="AJ838" s="78"/>
      <c r="AK838" s="78"/>
      <c r="AL838" s="78"/>
      <c r="AM838" s="78"/>
      <c r="AN838" s="76"/>
      <c r="AO838" s="76"/>
      <c r="AP838" s="76"/>
      <c r="AQ838" s="76"/>
      <c r="AR838" s="76"/>
      <c r="AS838" s="76"/>
      <c r="AT838" s="76"/>
      <c r="AU838" s="76"/>
      <c r="AV838" s="76"/>
      <c r="AW838" s="79"/>
      <c r="AX838" s="79"/>
      <c r="AY838" s="79"/>
      <c r="AZ838" s="79"/>
      <c r="BA838" s="79"/>
      <c r="BB838" s="11"/>
      <c r="BC838" s="11"/>
      <c r="BD838" s="11"/>
      <c r="BE838" s="73"/>
      <c r="BF838" s="73"/>
      <c r="BG838" s="73"/>
      <c r="BH838" s="77"/>
      <c r="BI838" s="77"/>
      <c r="BJ838" s="77"/>
      <c r="BK838" s="77"/>
      <c r="BL838" s="77"/>
      <c r="BM838" s="77"/>
      <c r="BN838" s="158"/>
      <c r="BO838" s="158"/>
    </row>
    <row r="839" spans="1:67" ht="15" x14ac:dyDescent="0.25">
      <c r="A839" s="71"/>
      <c r="B839" s="11"/>
      <c r="C839" s="11"/>
      <c r="D839" s="11"/>
      <c r="E839" s="11"/>
      <c r="F839" s="11"/>
      <c r="G839" s="11"/>
      <c r="H839" s="11"/>
      <c r="I839" s="11"/>
      <c r="J839" s="249"/>
      <c r="K839" s="72"/>
      <c r="L839" s="73"/>
      <c r="M839" s="73"/>
      <c r="N839" s="74"/>
      <c r="O839" s="75"/>
      <c r="P839" s="73"/>
      <c r="Q839" s="76"/>
      <c r="R839" s="76"/>
      <c r="S839" s="76"/>
      <c r="T839" s="76"/>
      <c r="U839" s="76"/>
      <c r="V839" s="76"/>
      <c r="W839" s="76"/>
      <c r="X839" s="76"/>
      <c r="Y839" s="76"/>
      <c r="Z839" s="77"/>
      <c r="AA839" s="77"/>
      <c r="AB839" s="77"/>
      <c r="AC839" s="77"/>
      <c r="AD839" s="77"/>
      <c r="AE839" s="77"/>
      <c r="AF839" s="77"/>
      <c r="AG839" s="77"/>
      <c r="AH839" s="78"/>
      <c r="AI839" s="78"/>
      <c r="AJ839" s="78"/>
      <c r="AK839" s="78"/>
      <c r="AL839" s="78"/>
      <c r="AM839" s="78"/>
      <c r="AN839" s="76"/>
      <c r="AO839" s="76"/>
      <c r="AP839" s="76"/>
      <c r="AQ839" s="76"/>
      <c r="AR839" s="76"/>
      <c r="AS839" s="76"/>
      <c r="AT839" s="76"/>
      <c r="AU839" s="76"/>
      <c r="AV839" s="76"/>
      <c r="AW839" s="79"/>
      <c r="AX839" s="79"/>
      <c r="AY839" s="79"/>
      <c r="AZ839" s="79"/>
      <c r="BA839" s="79"/>
      <c r="BB839" s="11"/>
      <c r="BC839" s="11"/>
      <c r="BD839" s="11"/>
      <c r="BE839" s="73"/>
      <c r="BF839" s="73"/>
      <c r="BG839" s="73"/>
      <c r="BH839" s="77"/>
      <c r="BI839" s="77"/>
      <c r="BJ839" s="77"/>
      <c r="BK839" s="77"/>
      <c r="BL839" s="77"/>
      <c r="BM839" s="77"/>
      <c r="BN839" s="158"/>
      <c r="BO839" s="158"/>
    </row>
    <row r="840" spans="1:67" ht="15" x14ac:dyDescent="0.25">
      <c r="A840" s="71"/>
      <c r="B840" s="11"/>
      <c r="C840" s="11"/>
      <c r="D840" s="11"/>
      <c r="E840" s="11"/>
      <c r="F840" s="11"/>
      <c r="G840" s="11"/>
      <c r="H840" s="11"/>
      <c r="I840" s="11"/>
      <c r="J840" s="249"/>
      <c r="K840" s="72"/>
      <c r="L840" s="73"/>
      <c r="M840" s="73"/>
      <c r="N840" s="74"/>
      <c r="O840" s="75"/>
      <c r="P840" s="73"/>
      <c r="Q840" s="76"/>
      <c r="R840" s="76"/>
      <c r="S840" s="76"/>
      <c r="T840" s="76"/>
      <c r="U840" s="76"/>
      <c r="V840" s="76"/>
      <c r="W840" s="76"/>
      <c r="X840" s="76"/>
      <c r="Y840" s="76"/>
      <c r="Z840" s="77"/>
      <c r="AA840" s="77"/>
      <c r="AB840" s="77"/>
      <c r="AC840" s="77"/>
      <c r="AD840" s="77"/>
      <c r="AE840" s="77"/>
      <c r="AF840" s="77"/>
      <c r="AG840" s="77"/>
      <c r="AH840" s="78"/>
      <c r="AI840" s="78"/>
      <c r="AJ840" s="78"/>
      <c r="AK840" s="78"/>
      <c r="AL840" s="78"/>
      <c r="AM840" s="78"/>
      <c r="AN840" s="76"/>
      <c r="AO840" s="76"/>
      <c r="AP840" s="76"/>
      <c r="AQ840" s="76"/>
      <c r="AR840" s="76"/>
      <c r="AS840" s="76"/>
      <c r="AT840" s="76"/>
      <c r="AU840" s="76"/>
      <c r="AV840" s="76"/>
      <c r="AW840" s="79"/>
      <c r="AX840" s="79"/>
      <c r="AY840" s="79"/>
      <c r="AZ840" s="79"/>
      <c r="BA840" s="79"/>
      <c r="BB840" s="11"/>
      <c r="BC840" s="11"/>
      <c r="BD840" s="11"/>
      <c r="BE840" s="73"/>
      <c r="BF840" s="73"/>
      <c r="BG840" s="73"/>
      <c r="BH840" s="77"/>
      <c r="BI840" s="77"/>
      <c r="BJ840" s="77"/>
      <c r="BK840" s="77"/>
      <c r="BL840" s="77"/>
      <c r="BM840" s="77"/>
      <c r="BN840" s="158"/>
      <c r="BO840" s="158"/>
    </row>
    <row r="841" spans="1:67" ht="15" x14ac:dyDescent="0.25">
      <c r="A841" s="71"/>
      <c r="B841" s="11"/>
      <c r="C841" s="11"/>
      <c r="D841" s="11"/>
      <c r="E841" s="11"/>
      <c r="F841" s="11"/>
      <c r="G841" s="11"/>
      <c r="H841" s="11"/>
      <c r="I841" s="11"/>
      <c r="J841" s="249"/>
      <c r="K841" s="72"/>
      <c r="L841" s="73"/>
      <c r="M841" s="73"/>
      <c r="N841" s="74"/>
      <c r="O841" s="75"/>
      <c r="P841" s="73"/>
      <c r="Q841" s="76"/>
      <c r="R841" s="76"/>
      <c r="S841" s="76"/>
      <c r="T841" s="76"/>
      <c r="U841" s="76"/>
      <c r="V841" s="76"/>
      <c r="W841" s="76"/>
      <c r="X841" s="76"/>
      <c r="Y841" s="76"/>
      <c r="Z841" s="77"/>
      <c r="AA841" s="77"/>
      <c r="AB841" s="77"/>
      <c r="AC841" s="77"/>
      <c r="AD841" s="77"/>
      <c r="AE841" s="77"/>
      <c r="AF841" s="77"/>
      <c r="AG841" s="77"/>
      <c r="AH841" s="78"/>
      <c r="AI841" s="78"/>
      <c r="AJ841" s="78"/>
      <c r="AK841" s="78"/>
      <c r="AL841" s="78"/>
      <c r="AM841" s="78"/>
      <c r="AN841" s="76"/>
      <c r="AO841" s="76"/>
      <c r="AP841" s="76"/>
      <c r="AQ841" s="76"/>
      <c r="AR841" s="76"/>
      <c r="AS841" s="76"/>
      <c r="AT841" s="76"/>
      <c r="AU841" s="76"/>
      <c r="AV841" s="76"/>
      <c r="AW841" s="79"/>
      <c r="AX841" s="79"/>
      <c r="AY841" s="79"/>
      <c r="AZ841" s="79"/>
      <c r="BA841" s="79"/>
      <c r="BB841" s="11"/>
      <c r="BC841" s="11"/>
      <c r="BD841" s="11"/>
      <c r="BE841" s="73"/>
      <c r="BF841" s="73"/>
      <c r="BG841" s="73"/>
      <c r="BH841" s="77"/>
      <c r="BI841" s="77"/>
      <c r="BJ841" s="77"/>
      <c r="BK841" s="77"/>
      <c r="BL841" s="77"/>
      <c r="BM841" s="77"/>
      <c r="BN841" s="158"/>
      <c r="BO841" s="158"/>
    </row>
    <row r="842" spans="1:67" ht="15" x14ac:dyDescent="0.25">
      <c r="A842" s="71"/>
      <c r="B842" s="11"/>
      <c r="C842" s="11"/>
      <c r="D842" s="11"/>
      <c r="E842" s="11"/>
      <c r="F842" s="11"/>
      <c r="G842" s="11"/>
      <c r="H842" s="11"/>
      <c r="I842" s="11"/>
      <c r="J842" s="249"/>
      <c r="K842" s="72"/>
      <c r="L842" s="73"/>
      <c r="M842" s="73"/>
      <c r="N842" s="74"/>
      <c r="O842" s="75"/>
      <c r="P842" s="73"/>
      <c r="Q842" s="76"/>
      <c r="R842" s="76"/>
      <c r="S842" s="76"/>
      <c r="T842" s="76"/>
      <c r="U842" s="76"/>
      <c r="V842" s="76"/>
      <c r="W842" s="76"/>
      <c r="X842" s="76"/>
      <c r="Y842" s="76"/>
      <c r="Z842" s="77"/>
      <c r="AA842" s="77"/>
      <c r="AB842" s="77"/>
      <c r="AC842" s="77"/>
      <c r="AD842" s="77"/>
      <c r="AE842" s="77"/>
      <c r="AF842" s="77"/>
      <c r="AG842" s="77"/>
      <c r="AH842" s="78"/>
      <c r="AI842" s="78"/>
      <c r="AJ842" s="78"/>
      <c r="AK842" s="78"/>
      <c r="AL842" s="78"/>
      <c r="AM842" s="78"/>
      <c r="AN842" s="76"/>
      <c r="AO842" s="76"/>
      <c r="AP842" s="76"/>
      <c r="AQ842" s="76"/>
      <c r="AR842" s="76"/>
      <c r="AS842" s="76"/>
      <c r="AT842" s="76"/>
      <c r="AU842" s="76"/>
      <c r="AV842" s="76"/>
      <c r="AW842" s="79"/>
      <c r="AX842" s="79"/>
      <c r="AY842" s="79"/>
      <c r="AZ842" s="79"/>
      <c r="BA842" s="79"/>
      <c r="BB842" s="11"/>
      <c r="BC842" s="11"/>
      <c r="BD842" s="11"/>
      <c r="BE842" s="73"/>
      <c r="BF842" s="73"/>
      <c r="BG842" s="73"/>
      <c r="BH842" s="77"/>
      <c r="BI842" s="77"/>
      <c r="BJ842" s="77"/>
      <c r="BK842" s="77"/>
      <c r="BL842" s="77"/>
      <c r="BM842" s="77"/>
      <c r="BN842" s="158"/>
      <c r="BO842" s="158"/>
    </row>
    <row r="843" spans="1:67" ht="15" x14ac:dyDescent="0.25">
      <c r="A843" s="71"/>
      <c r="B843" s="11"/>
      <c r="C843" s="11"/>
      <c r="D843" s="11"/>
      <c r="E843" s="11"/>
      <c r="F843" s="11"/>
      <c r="G843" s="11"/>
      <c r="H843" s="11"/>
      <c r="I843" s="11"/>
      <c r="J843" s="249"/>
      <c r="K843" s="72"/>
      <c r="L843" s="73"/>
      <c r="M843" s="73"/>
      <c r="N843" s="74"/>
      <c r="O843" s="75"/>
      <c r="P843" s="73"/>
      <c r="Q843" s="76"/>
      <c r="R843" s="76"/>
      <c r="S843" s="76"/>
      <c r="T843" s="76"/>
      <c r="U843" s="76"/>
      <c r="V843" s="76"/>
      <c r="W843" s="76"/>
      <c r="X843" s="76"/>
      <c r="Y843" s="76"/>
      <c r="Z843" s="77"/>
      <c r="AA843" s="77"/>
      <c r="AB843" s="77"/>
      <c r="AC843" s="77"/>
      <c r="AD843" s="77"/>
      <c r="AE843" s="77"/>
      <c r="AF843" s="77"/>
      <c r="AG843" s="77"/>
      <c r="AH843" s="78"/>
      <c r="AI843" s="78"/>
      <c r="AJ843" s="78"/>
      <c r="AK843" s="78"/>
      <c r="AL843" s="78"/>
      <c r="AM843" s="78"/>
      <c r="AN843" s="76"/>
      <c r="AO843" s="76"/>
      <c r="AP843" s="76"/>
      <c r="AQ843" s="76"/>
      <c r="AR843" s="76"/>
      <c r="AS843" s="76"/>
      <c r="AT843" s="76"/>
      <c r="AU843" s="76"/>
      <c r="AV843" s="76"/>
      <c r="AW843" s="79"/>
      <c r="AX843" s="79"/>
      <c r="AY843" s="79"/>
      <c r="AZ843" s="79"/>
      <c r="BA843" s="79"/>
      <c r="BB843" s="11"/>
      <c r="BC843" s="11"/>
      <c r="BD843" s="11"/>
      <c r="BE843" s="73"/>
      <c r="BF843" s="73"/>
      <c r="BG843" s="73"/>
      <c r="BH843" s="77"/>
      <c r="BI843" s="77"/>
      <c r="BJ843" s="77"/>
      <c r="BK843" s="77"/>
      <c r="BL843" s="77"/>
      <c r="BM843" s="77"/>
      <c r="BN843" s="158"/>
      <c r="BO843" s="158"/>
    </row>
    <row r="844" spans="1:67" ht="15" x14ac:dyDescent="0.25">
      <c r="A844" s="71"/>
      <c r="B844" s="11"/>
      <c r="C844" s="11"/>
      <c r="D844" s="11"/>
      <c r="E844" s="11"/>
      <c r="F844" s="11"/>
      <c r="G844" s="11"/>
      <c r="H844" s="11"/>
      <c r="I844" s="11"/>
      <c r="J844" s="249"/>
      <c r="K844" s="72"/>
      <c r="L844" s="73"/>
      <c r="M844" s="73"/>
      <c r="N844" s="74"/>
      <c r="O844" s="75"/>
      <c r="P844" s="73"/>
      <c r="Q844" s="76"/>
      <c r="R844" s="76"/>
      <c r="S844" s="76"/>
      <c r="T844" s="76"/>
      <c r="U844" s="76"/>
      <c r="V844" s="76"/>
      <c r="W844" s="76"/>
      <c r="X844" s="76"/>
      <c r="Y844" s="76"/>
      <c r="Z844" s="77"/>
      <c r="AA844" s="77"/>
      <c r="AB844" s="77"/>
      <c r="AC844" s="77"/>
      <c r="AD844" s="77"/>
      <c r="AE844" s="77"/>
      <c r="AF844" s="77"/>
      <c r="AG844" s="77"/>
      <c r="AH844" s="78"/>
      <c r="AI844" s="78"/>
      <c r="AJ844" s="78"/>
      <c r="AK844" s="78"/>
      <c r="AL844" s="78"/>
      <c r="AM844" s="78"/>
      <c r="AN844" s="76"/>
      <c r="AO844" s="76"/>
      <c r="AP844" s="76"/>
      <c r="AQ844" s="76"/>
      <c r="AR844" s="76"/>
      <c r="AS844" s="76"/>
      <c r="AT844" s="76"/>
      <c r="AU844" s="76"/>
      <c r="AV844" s="76"/>
      <c r="AW844" s="79"/>
      <c r="AX844" s="79"/>
      <c r="AY844" s="79"/>
      <c r="AZ844" s="79"/>
      <c r="BA844" s="79"/>
      <c r="BB844" s="11"/>
      <c r="BC844" s="11"/>
      <c r="BD844" s="11"/>
      <c r="BE844" s="73"/>
      <c r="BF844" s="73"/>
      <c r="BG844" s="73"/>
      <c r="BH844" s="77"/>
      <c r="BI844" s="77"/>
      <c r="BJ844" s="77"/>
      <c r="BK844" s="77"/>
      <c r="BL844" s="77"/>
      <c r="BM844" s="77"/>
      <c r="BN844" s="158"/>
      <c r="BO844" s="158"/>
    </row>
    <row r="845" spans="1:67" ht="15" x14ac:dyDescent="0.25">
      <c r="A845" s="71"/>
      <c r="B845" s="11"/>
      <c r="C845" s="11"/>
      <c r="D845" s="11"/>
      <c r="E845" s="11"/>
      <c r="F845" s="11"/>
      <c r="G845" s="11"/>
      <c r="H845" s="11"/>
      <c r="I845" s="11"/>
      <c r="J845" s="249"/>
      <c r="K845" s="72"/>
      <c r="L845" s="73"/>
      <c r="M845" s="73"/>
      <c r="N845" s="74"/>
      <c r="O845" s="75"/>
      <c r="P845" s="73"/>
      <c r="Q845" s="76"/>
      <c r="R845" s="76"/>
      <c r="S845" s="76"/>
      <c r="T845" s="76"/>
      <c r="U845" s="76"/>
      <c r="V845" s="76"/>
      <c r="W845" s="76"/>
      <c r="X845" s="76"/>
      <c r="Y845" s="76"/>
      <c r="Z845" s="77"/>
      <c r="AA845" s="77"/>
      <c r="AB845" s="77"/>
      <c r="AC845" s="77"/>
      <c r="AD845" s="77"/>
      <c r="AE845" s="77"/>
      <c r="AF845" s="77"/>
      <c r="AG845" s="77"/>
      <c r="AH845" s="78"/>
      <c r="AI845" s="78"/>
      <c r="AJ845" s="78"/>
      <c r="AK845" s="78"/>
      <c r="AL845" s="78"/>
      <c r="AM845" s="78"/>
      <c r="AN845" s="76"/>
      <c r="AO845" s="76"/>
      <c r="AP845" s="76"/>
      <c r="AQ845" s="76"/>
      <c r="AR845" s="76"/>
      <c r="AS845" s="76"/>
      <c r="AT845" s="76"/>
      <c r="AU845" s="76"/>
      <c r="AV845" s="76"/>
      <c r="AW845" s="79"/>
      <c r="AX845" s="79"/>
      <c r="AY845" s="79"/>
      <c r="AZ845" s="79"/>
      <c r="BA845" s="79"/>
      <c r="BB845" s="11"/>
      <c r="BC845" s="11"/>
      <c r="BD845" s="11"/>
      <c r="BE845" s="73"/>
      <c r="BF845" s="73"/>
      <c r="BG845" s="73"/>
      <c r="BH845" s="77"/>
      <c r="BI845" s="77"/>
      <c r="BJ845" s="77"/>
      <c r="BK845" s="77"/>
      <c r="BL845" s="77"/>
      <c r="BM845" s="77"/>
      <c r="BN845" s="158"/>
      <c r="BO845" s="158"/>
    </row>
    <row r="846" spans="1:67" ht="15" x14ac:dyDescent="0.25">
      <c r="A846" s="71"/>
      <c r="B846" s="11"/>
      <c r="C846" s="11"/>
      <c r="D846" s="11"/>
      <c r="E846" s="11"/>
      <c r="F846" s="11"/>
      <c r="G846" s="11"/>
      <c r="H846" s="11"/>
      <c r="I846" s="11"/>
      <c r="J846" s="249"/>
      <c r="K846" s="72"/>
      <c r="L846" s="73"/>
      <c r="M846" s="73"/>
      <c r="N846" s="74"/>
      <c r="O846" s="75"/>
      <c r="P846" s="73"/>
      <c r="Q846" s="76"/>
      <c r="R846" s="76"/>
      <c r="S846" s="76"/>
      <c r="T846" s="76"/>
      <c r="U846" s="76"/>
      <c r="V846" s="76"/>
      <c r="W846" s="76"/>
      <c r="X846" s="76"/>
      <c r="Y846" s="76"/>
      <c r="Z846" s="77"/>
      <c r="AA846" s="77"/>
      <c r="AB846" s="77"/>
      <c r="AC846" s="77"/>
      <c r="AD846" s="77"/>
      <c r="AE846" s="77"/>
      <c r="AF846" s="77"/>
      <c r="AG846" s="77"/>
      <c r="AH846" s="78"/>
      <c r="AI846" s="78"/>
      <c r="AJ846" s="78"/>
      <c r="AK846" s="78"/>
      <c r="AL846" s="78"/>
      <c r="AM846" s="78"/>
      <c r="AN846" s="76"/>
      <c r="AO846" s="76"/>
      <c r="AP846" s="76"/>
      <c r="AQ846" s="76"/>
      <c r="AR846" s="76"/>
      <c r="AS846" s="76"/>
      <c r="AT846" s="76"/>
      <c r="AU846" s="76"/>
      <c r="AV846" s="76"/>
      <c r="AW846" s="79"/>
      <c r="AX846" s="79"/>
      <c r="AY846" s="79"/>
      <c r="AZ846" s="79"/>
      <c r="BA846" s="79"/>
      <c r="BB846" s="11"/>
      <c r="BC846" s="11"/>
      <c r="BD846" s="11"/>
      <c r="BE846" s="73"/>
      <c r="BF846" s="73"/>
      <c r="BG846" s="73"/>
      <c r="BH846" s="77"/>
      <c r="BI846" s="77"/>
      <c r="BJ846" s="77"/>
      <c r="BK846" s="77"/>
      <c r="BL846" s="77"/>
      <c r="BM846" s="77"/>
      <c r="BN846" s="158"/>
      <c r="BO846" s="158"/>
    </row>
    <row r="847" spans="1:67" ht="15" x14ac:dyDescent="0.25">
      <c r="A847" s="71"/>
      <c r="B847" s="11"/>
      <c r="C847" s="11"/>
      <c r="D847" s="11"/>
      <c r="E847" s="11"/>
      <c r="F847" s="11"/>
      <c r="G847" s="11"/>
      <c r="H847" s="11"/>
      <c r="I847" s="11"/>
      <c r="J847" s="249"/>
      <c r="K847" s="72"/>
      <c r="L847" s="73"/>
      <c r="M847" s="73"/>
      <c r="N847" s="74"/>
      <c r="O847" s="75"/>
      <c r="P847" s="73"/>
      <c r="Q847" s="76"/>
      <c r="R847" s="76"/>
      <c r="S847" s="76"/>
      <c r="T847" s="76"/>
      <c r="U847" s="76"/>
      <c r="V847" s="76"/>
      <c r="W847" s="76"/>
      <c r="X847" s="76"/>
      <c r="Y847" s="76"/>
      <c r="Z847" s="77"/>
      <c r="AA847" s="77"/>
      <c r="AB847" s="77"/>
      <c r="AC847" s="77"/>
      <c r="AD847" s="77"/>
      <c r="AE847" s="77"/>
      <c r="AF847" s="77"/>
      <c r="AG847" s="77"/>
      <c r="AH847" s="78"/>
      <c r="AI847" s="78"/>
      <c r="AJ847" s="78"/>
      <c r="AK847" s="78"/>
      <c r="AL847" s="78"/>
      <c r="AM847" s="78"/>
      <c r="AN847" s="76"/>
      <c r="AO847" s="76"/>
      <c r="AP847" s="76"/>
      <c r="AQ847" s="76"/>
      <c r="AR847" s="76"/>
      <c r="AS847" s="76"/>
      <c r="AT847" s="76"/>
      <c r="AU847" s="76"/>
      <c r="AV847" s="76"/>
      <c r="AW847" s="79"/>
      <c r="AX847" s="79"/>
      <c r="AY847" s="79"/>
      <c r="AZ847" s="79"/>
      <c r="BA847" s="79"/>
      <c r="BB847" s="11"/>
      <c r="BC847" s="11"/>
      <c r="BD847" s="11"/>
      <c r="BE847" s="73"/>
      <c r="BF847" s="73"/>
      <c r="BG847" s="73"/>
      <c r="BH847" s="77"/>
      <c r="BI847" s="77"/>
      <c r="BJ847" s="77"/>
      <c r="BK847" s="77"/>
      <c r="BL847" s="77"/>
      <c r="BM847" s="77"/>
      <c r="BN847" s="158"/>
      <c r="BO847" s="158"/>
    </row>
    <row r="848" spans="1:67" ht="15" x14ac:dyDescent="0.25">
      <c r="A848" s="71"/>
      <c r="B848" s="11"/>
      <c r="C848" s="11"/>
      <c r="D848" s="11"/>
      <c r="E848" s="11"/>
      <c r="F848" s="11"/>
      <c r="G848" s="11"/>
      <c r="H848" s="11"/>
      <c r="I848" s="11"/>
      <c r="J848" s="249"/>
      <c r="K848" s="72"/>
      <c r="L848" s="73"/>
      <c r="M848" s="73"/>
      <c r="N848" s="74"/>
      <c r="O848" s="75"/>
      <c r="P848" s="73"/>
      <c r="Q848" s="76"/>
      <c r="R848" s="76"/>
      <c r="S848" s="76"/>
      <c r="T848" s="76"/>
      <c r="U848" s="76"/>
      <c r="V848" s="76"/>
      <c r="W848" s="76"/>
      <c r="X848" s="76"/>
      <c r="Y848" s="76"/>
      <c r="Z848" s="77"/>
      <c r="AA848" s="77"/>
      <c r="AB848" s="77"/>
      <c r="AC848" s="77"/>
      <c r="AD848" s="77"/>
      <c r="AE848" s="77"/>
      <c r="AF848" s="77"/>
      <c r="AG848" s="77"/>
      <c r="AH848" s="78"/>
      <c r="AI848" s="78"/>
      <c r="AJ848" s="78"/>
      <c r="AK848" s="78"/>
      <c r="AL848" s="78"/>
      <c r="AM848" s="78"/>
      <c r="AN848" s="76"/>
      <c r="AO848" s="76"/>
      <c r="AP848" s="76"/>
      <c r="AQ848" s="76"/>
      <c r="AR848" s="76"/>
      <c r="AS848" s="76"/>
      <c r="AT848" s="76"/>
      <c r="AU848" s="76"/>
      <c r="AV848" s="76"/>
      <c r="AW848" s="79"/>
      <c r="AX848" s="79"/>
      <c r="AY848" s="79"/>
      <c r="AZ848" s="79"/>
      <c r="BA848" s="79"/>
      <c r="BB848" s="11"/>
      <c r="BC848" s="11"/>
      <c r="BD848" s="11"/>
      <c r="BE848" s="73"/>
      <c r="BF848" s="73"/>
      <c r="BG848" s="73"/>
      <c r="BH848" s="77"/>
      <c r="BI848" s="77"/>
      <c r="BJ848" s="77"/>
      <c r="BK848" s="77"/>
      <c r="BL848" s="77"/>
      <c r="BM848" s="77"/>
      <c r="BN848" s="158"/>
      <c r="BO848" s="158"/>
    </row>
    <row r="849" spans="1:67" ht="15" x14ac:dyDescent="0.25">
      <c r="A849" s="71"/>
      <c r="B849" s="11"/>
      <c r="C849" s="11"/>
      <c r="D849" s="11"/>
      <c r="E849" s="11"/>
      <c r="F849" s="11"/>
      <c r="G849" s="11"/>
      <c r="H849" s="11"/>
      <c r="I849" s="11"/>
      <c r="J849" s="249"/>
      <c r="K849" s="72"/>
      <c r="L849" s="73"/>
      <c r="M849" s="73"/>
      <c r="N849" s="74"/>
      <c r="O849" s="75"/>
      <c r="P849" s="73"/>
      <c r="Q849" s="76"/>
      <c r="R849" s="76"/>
      <c r="S849" s="76"/>
      <c r="T849" s="76"/>
      <c r="U849" s="76"/>
      <c r="V849" s="76"/>
      <c r="W849" s="76"/>
      <c r="X849" s="76"/>
      <c r="Y849" s="76"/>
      <c r="Z849" s="77"/>
      <c r="AA849" s="77"/>
      <c r="AB849" s="77"/>
      <c r="AC849" s="77"/>
      <c r="AD849" s="77"/>
      <c r="AE849" s="77"/>
      <c r="AF849" s="77"/>
      <c r="AG849" s="77"/>
      <c r="AH849" s="78"/>
      <c r="AI849" s="78"/>
      <c r="AJ849" s="78"/>
      <c r="AK849" s="78"/>
      <c r="AL849" s="78"/>
      <c r="AM849" s="78"/>
      <c r="AN849" s="76"/>
      <c r="AO849" s="76"/>
      <c r="AP849" s="76"/>
      <c r="AQ849" s="76"/>
      <c r="AR849" s="76"/>
      <c r="AS849" s="76"/>
      <c r="AT849" s="76"/>
      <c r="AU849" s="76"/>
      <c r="AV849" s="76"/>
      <c r="AW849" s="79"/>
      <c r="AX849" s="79"/>
      <c r="AY849" s="79"/>
      <c r="AZ849" s="79"/>
      <c r="BA849" s="79"/>
      <c r="BB849" s="11"/>
      <c r="BC849" s="11"/>
      <c r="BD849" s="11"/>
      <c r="BE849" s="73"/>
      <c r="BF849" s="73"/>
      <c r="BG849" s="73"/>
      <c r="BH849" s="77"/>
      <c r="BI849" s="77"/>
      <c r="BJ849" s="77"/>
      <c r="BK849" s="77"/>
      <c r="BL849" s="77"/>
      <c r="BM849" s="77"/>
      <c r="BN849" s="158"/>
      <c r="BO849" s="158"/>
    </row>
    <row r="850" spans="1:67" ht="15" x14ac:dyDescent="0.25">
      <c r="A850" s="71"/>
      <c r="B850" s="11"/>
      <c r="C850" s="11"/>
      <c r="D850" s="11"/>
      <c r="E850" s="11"/>
      <c r="F850" s="11"/>
      <c r="G850" s="11"/>
      <c r="H850" s="11"/>
      <c r="I850" s="11"/>
      <c r="J850" s="249"/>
      <c r="K850" s="72"/>
      <c r="L850" s="73"/>
      <c r="M850" s="73"/>
      <c r="N850" s="74"/>
      <c r="O850" s="75"/>
      <c r="P850" s="73"/>
      <c r="Q850" s="76"/>
      <c r="R850" s="76"/>
      <c r="S850" s="76"/>
      <c r="T850" s="76"/>
      <c r="U850" s="76"/>
      <c r="V850" s="76"/>
      <c r="W850" s="76"/>
      <c r="X850" s="76"/>
      <c r="Y850" s="76"/>
      <c r="Z850" s="77"/>
      <c r="AA850" s="77"/>
      <c r="AB850" s="77"/>
      <c r="AC850" s="77"/>
      <c r="AD850" s="77"/>
      <c r="AE850" s="77"/>
      <c r="AF850" s="77"/>
      <c r="AG850" s="77"/>
      <c r="AH850" s="78"/>
      <c r="AI850" s="78"/>
      <c r="AJ850" s="78"/>
      <c r="AK850" s="78"/>
      <c r="AL850" s="78"/>
      <c r="AM850" s="78"/>
      <c r="AN850" s="76"/>
      <c r="AO850" s="76"/>
      <c r="AP850" s="76"/>
      <c r="AQ850" s="76"/>
      <c r="AR850" s="76"/>
      <c r="AS850" s="76"/>
      <c r="AT850" s="76"/>
      <c r="AU850" s="76"/>
      <c r="AV850" s="76"/>
      <c r="AW850" s="79"/>
      <c r="AX850" s="79"/>
      <c r="AY850" s="79"/>
      <c r="AZ850" s="79"/>
      <c r="BA850" s="79"/>
      <c r="BB850" s="11"/>
      <c r="BC850" s="11"/>
      <c r="BD850" s="11"/>
      <c r="BE850" s="73"/>
      <c r="BF850" s="73"/>
      <c r="BG850" s="73"/>
      <c r="BH850" s="77"/>
      <c r="BI850" s="77"/>
      <c r="BJ850" s="77"/>
      <c r="BK850" s="77"/>
      <c r="BL850" s="77"/>
      <c r="BM850" s="77"/>
      <c r="BN850" s="158"/>
      <c r="BO850" s="158"/>
    </row>
    <row r="851" spans="1:67" ht="15" x14ac:dyDescent="0.25">
      <c r="A851" s="71"/>
      <c r="B851" s="11"/>
      <c r="C851" s="11"/>
      <c r="D851" s="11"/>
      <c r="E851" s="11"/>
      <c r="F851" s="11"/>
      <c r="G851" s="11"/>
      <c r="H851" s="11"/>
      <c r="I851" s="11"/>
      <c r="J851" s="249"/>
      <c r="K851" s="72"/>
      <c r="L851" s="73"/>
      <c r="M851" s="73"/>
      <c r="N851" s="74"/>
      <c r="O851" s="75"/>
      <c r="P851" s="73"/>
      <c r="Q851" s="76"/>
      <c r="R851" s="76"/>
      <c r="S851" s="76"/>
      <c r="T851" s="76"/>
      <c r="U851" s="76"/>
      <c r="V851" s="76"/>
      <c r="W851" s="76"/>
      <c r="X851" s="76"/>
      <c r="Y851" s="76"/>
      <c r="Z851" s="77"/>
      <c r="AA851" s="77"/>
      <c r="AB851" s="77"/>
      <c r="AC851" s="77"/>
      <c r="AD851" s="77"/>
      <c r="AE851" s="77"/>
      <c r="AF851" s="77"/>
      <c r="AG851" s="77"/>
      <c r="AH851" s="78"/>
      <c r="AI851" s="78"/>
      <c r="AJ851" s="78"/>
      <c r="AK851" s="78"/>
      <c r="AL851" s="78"/>
      <c r="AM851" s="78"/>
      <c r="AN851" s="76"/>
      <c r="AO851" s="76"/>
      <c r="AP851" s="76"/>
      <c r="AQ851" s="76"/>
      <c r="AR851" s="76"/>
      <c r="AS851" s="76"/>
      <c r="AT851" s="76"/>
      <c r="AU851" s="76"/>
      <c r="AV851" s="76"/>
      <c r="AW851" s="79"/>
      <c r="AX851" s="79"/>
      <c r="AY851" s="79"/>
      <c r="AZ851" s="79"/>
      <c r="BA851" s="79"/>
      <c r="BB851" s="11"/>
      <c r="BC851" s="11"/>
      <c r="BD851" s="11"/>
      <c r="BE851" s="73"/>
      <c r="BF851" s="73"/>
      <c r="BG851" s="73"/>
      <c r="BH851" s="77"/>
      <c r="BI851" s="77"/>
      <c r="BJ851" s="77"/>
      <c r="BK851" s="77"/>
      <c r="BL851" s="77"/>
      <c r="BM851" s="77"/>
      <c r="BN851" s="158"/>
      <c r="BO851" s="158"/>
    </row>
    <row r="852" spans="1:67" ht="15" x14ac:dyDescent="0.25">
      <c r="A852" s="71"/>
      <c r="B852" s="11"/>
      <c r="C852" s="11"/>
      <c r="D852" s="11"/>
      <c r="E852" s="11"/>
      <c r="F852" s="11"/>
      <c r="G852" s="11"/>
      <c r="H852" s="11"/>
      <c r="I852" s="11"/>
      <c r="J852" s="249"/>
      <c r="K852" s="72"/>
      <c r="L852" s="73"/>
      <c r="M852" s="73"/>
      <c r="N852" s="74"/>
      <c r="O852" s="75"/>
      <c r="P852" s="73"/>
      <c r="Q852" s="76"/>
      <c r="R852" s="76"/>
      <c r="S852" s="76"/>
      <c r="T852" s="76"/>
      <c r="U852" s="76"/>
      <c r="V852" s="76"/>
      <c r="W852" s="76"/>
      <c r="X852" s="76"/>
      <c r="Y852" s="76"/>
      <c r="Z852" s="77"/>
      <c r="AA852" s="77"/>
      <c r="AB852" s="77"/>
      <c r="AC852" s="77"/>
      <c r="AD852" s="77"/>
      <c r="AE852" s="77"/>
      <c r="AF852" s="77"/>
      <c r="AG852" s="77"/>
      <c r="AH852" s="78"/>
      <c r="AI852" s="78"/>
      <c r="AJ852" s="78"/>
      <c r="AK852" s="78"/>
      <c r="AL852" s="78"/>
      <c r="AM852" s="78"/>
      <c r="AN852" s="76"/>
      <c r="AO852" s="76"/>
      <c r="AP852" s="76"/>
      <c r="AQ852" s="76"/>
      <c r="AR852" s="76"/>
      <c r="AS852" s="76"/>
      <c r="AT852" s="76"/>
      <c r="AU852" s="76"/>
      <c r="AV852" s="76"/>
      <c r="AW852" s="79"/>
      <c r="AX852" s="79"/>
      <c r="AY852" s="79"/>
      <c r="AZ852" s="79"/>
      <c r="BA852" s="79"/>
      <c r="BB852" s="11"/>
      <c r="BC852" s="11"/>
      <c r="BD852" s="11"/>
      <c r="BE852" s="73"/>
      <c r="BF852" s="73"/>
      <c r="BG852" s="73"/>
      <c r="BH852" s="77"/>
      <c r="BI852" s="77"/>
      <c r="BJ852" s="77"/>
      <c r="BK852" s="77"/>
      <c r="BL852" s="77"/>
      <c r="BM852" s="77"/>
      <c r="BN852" s="158"/>
      <c r="BO852" s="158"/>
    </row>
    <row r="853" spans="1:67" ht="15" x14ac:dyDescent="0.25">
      <c r="A853" s="71"/>
      <c r="B853" s="11"/>
      <c r="C853" s="11"/>
      <c r="D853" s="11"/>
      <c r="E853" s="11"/>
      <c r="F853" s="11"/>
      <c r="G853" s="11"/>
      <c r="H853" s="11"/>
      <c r="I853" s="11"/>
      <c r="J853" s="249"/>
      <c r="K853" s="72"/>
      <c r="L853" s="73"/>
      <c r="M853" s="73"/>
      <c r="N853" s="74"/>
      <c r="O853" s="75"/>
      <c r="P853" s="73"/>
      <c r="Q853" s="76"/>
      <c r="R853" s="76"/>
      <c r="S853" s="76"/>
      <c r="T853" s="76"/>
      <c r="U853" s="76"/>
      <c r="V853" s="76"/>
      <c r="W853" s="76"/>
      <c r="X853" s="76"/>
      <c r="Y853" s="76"/>
      <c r="Z853" s="77"/>
      <c r="AA853" s="77"/>
      <c r="AB853" s="77"/>
      <c r="AC853" s="77"/>
      <c r="AD853" s="77"/>
      <c r="AE853" s="77"/>
      <c r="AF853" s="77"/>
      <c r="AG853" s="77"/>
      <c r="AH853" s="78"/>
      <c r="AI853" s="78"/>
      <c r="AJ853" s="78"/>
      <c r="AK853" s="78"/>
      <c r="AL853" s="78"/>
      <c r="AM853" s="78"/>
      <c r="AN853" s="76"/>
      <c r="AO853" s="76"/>
      <c r="AP853" s="76"/>
      <c r="AQ853" s="76"/>
      <c r="AR853" s="76"/>
      <c r="AS853" s="76"/>
      <c r="AT853" s="76"/>
      <c r="AU853" s="76"/>
      <c r="AV853" s="76"/>
      <c r="AW853" s="79"/>
      <c r="AX853" s="79"/>
      <c r="AY853" s="79"/>
      <c r="AZ853" s="79"/>
      <c r="BA853" s="79"/>
      <c r="BB853" s="11"/>
      <c r="BC853" s="11"/>
      <c r="BD853" s="11"/>
      <c r="BE853" s="73"/>
      <c r="BF853" s="73"/>
      <c r="BG853" s="73"/>
      <c r="BH853" s="77"/>
      <c r="BI853" s="77"/>
      <c r="BJ853" s="77"/>
      <c r="BK853" s="77"/>
      <c r="BL853" s="77"/>
      <c r="BM853" s="77"/>
      <c r="BN853" s="158"/>
      <c r="BO853" s="158"/>
    </row>
    <row r="854" spans="1:67" ht="15" x14ac:dyDescent="0.25">
      <c r="A854" s="71"/>
      <c r="B854" s="11"/>
      <c r="C854" s="11"/>
      <c r="D854" s="11"/>
      <c r="E854" s="11"/>
      <c r="F854" s="11"/>
      <c r="G854" s="11"/>
      <c r="H854" s="11"/>
      <c r="I854" s="11"/>
      <c r="J854" s="249"/>
      <c r="K854" s="72"/>
      <c r="L854" s="73"/>
      <c r="M854" s="73"/>
      <c r="N854" s="74"/>
      <c r="O854" s="75"/>
      <c r="P854" s="73"/>
      <c r="Q854" s="76"/>
      <c r="R854" s="76"/>
      <c r="S854" s="76"/>
      <c r="T854" s="76"/>
      <c r="U854" s="76"/>
      <c r="V854" s="76"/>
      <c r="W854" s="76"/>
      <c r="X854" s="76"/>
      <c r="Y854" s="76"/>
      <c r="Z854" s="77"/>
      <c r="AA854" s="77"/>
      <c r="AB854" s="77"/>
      <c r="AC854" s="77"/>
      <c r="AD854" s="77"/>
      <c r="AE854" s="77"/>
      <c r="AF854" s="77"/>
      <c r="AG854" s="77"/>
      <c r="AH854" s="78"/>
      <c r="AI854" s="78"/>
      <c r="AJ854" s="78"/>
      <c r="AK854" s="78"/>
      <c r="AL854" s="78"/>
      <c r="AM854" s="78"/>
      <c r="AN854" s="76"/>
      <c r="AO854" s="76"/>
      <c r="AP854" s="76"/>
      <c r="AQ854" s="76"/>
      <c r="AR854" s="76"/>
      <c r="AS854" s="76"/>
      <c r="AT854" s="76"/>
      <c r="AU854" s="76"/>
      <c r="AV854" s="76"/>
      <c r="AW854" s="79"/>
      <c r="AX854" s="79"/>
      <c r="AY854" s="79"/>
      <c r="AZ854" s="79"/>
      <c r="BA854" s="79"/>
      <c r="BB854" s="11"/>
      <c r="BC854" s="11"/>
      <c r="BD854" s="11"/>
      <c r="BE854" s="73"/>
      <c r="BF854" s="73"/>
      <c r="BG854" s="73"/>
      <c r="BH854" s="77"/>
      <c r="BI854" s="77"/>
      <c r="BJ854" s="77"/>
      <c r="BK854" s="77"/>
      <c r="BL854" s="77"/>
      <c r="BM854" s="77"/>
      <c r="BN854" s="158"/>
      <c r="BO854" s="158"/>
    </row>
    <row r="855" spans="1:67" ht="15" x14ac:dyDescent="0.25">
      <c r="A855" s="71"/>
      <c r="B855" s="11"/>
      <c r="C855" s="11"/>
      <c r="D855" s="11"/>
      <c r="E855" s="11"/>
      <c r="F855" s="11"/>
      <c r="G855" s="11"/>
      <c r="H855" s="11"/>
      <c r="I855" s="11"/>
      <c r="J855" s="249"/>
      <c r="K855" s="72"/>
      <c r="L855" s="73"/>
      <c r="M855" s="73"/>
      <c r="N855" s="74"/>
      <c r="O855" s="75"/>
      <c r="P855" s="73"/>
      <c r="Q855" s="76"/>
      <c r="R855" s="76"/>
      <c r="S855" s="76"/>
      <c r="T855" s="76"/>
      <c r="U855" s="76"/>
      <c r="V855" s="76"/>
      <c r="W855" s="76"/>
      <c r="X855" s="76"/>
      <c r="Y855" s="76"/>
      <c r="Z855" s="77"/>
      <c r="AA855" s="77"/>
      <c r="AB855" s="77"/>
      <c r="AC855" s="77"/>
      <c r="AD855" s="77"/>
      <c r="AE855" s="77"/>
      <c r="AF855" s="77"/>
      <c r="AG855" s="77"/>
      <c r="AH855" s="78"/>
      <c r="AI855" s="78"/>
      <c r="AJ855" s="78"/>
      <c r="AK855" s="78"/>
      <c r="AL855" s="78"/>
      <c r="AM855" s="78"/>
      <c r="AN855" s="76"/>
      <c r="AO855" s="76"/>
      <c r="AP855" s="76"/>
      <c r="AQ855" s="76"/>
      <c r="AR855" s="76"/>
      <c r="AS855" s="76"/>
      <c r="AT855" s="76"/>
      <c r="AU855" s="76"/>
      <c r="AV855" s="76"/>
      <c r="AW855" s="79"/>
      <c r="AX855" s="79"/>
      <c r="AY855" s="79"/>
      <c r="AZ855" s="79"/>
      <c r="BA855" s="79"/>
      <c r="BB855" s="11"/>
      <c r="BC855" s="11"/>
      <c r="BD855" s="11"/>
      <c r="BE855" s="73"/>
      <c r="BF855" s="73"/>
      <c r="BG855" s="73"/>
      <c r="BH855" s="77"/>
      <c r="BI855" s="77"/>
      <c r="BJ855" s="77"/>
      <c r="BK855" s="77"/>
      <c r="BL855" s="77"/>
      <c r="BM855" s="77"/>
      <c r="BN855" s="158"/>
      <c r="BO855" s="158"/>
    </row>
    <row r="856" spans="1:67" ht="15" x14ac:dyDescent="0.25">
      <c r="A856" s="71"/>
      <c r="B856" s="11"/>
      <c r="C856" s="11"/>
      <c r="D856" s="11"/>
      <c r="E856" s="11"/>
      <c r="F856" s="11"/>
      <c r="G856" s="11"/>
      <c r="H856" s="11"/>
      <c r="I856" s="11"/>
      <c r="J856" s="249"/>
      <c r="K856" s="72"/>
      <c r="L856" s="73"/>
      <c r="M856" s="73"/>
      <c r="N856" s="74"/>
      <c r="O856" s="75"/>
      <c r="P856" s="73"/>
      <c r="Q856" s="76"/>
      <c r="R856" s="76"/>
      <c r="S856" s="76"/>
      <c r="T856" s="76"/>
      <c r="U856" s="76"/>
      <c r="V856" s="76"/>
      <c r="W856" s="76"/>
      <c r="X856" s="76"/>
      <c r="Y856" s="76"/>
      <c r="Z856" s="77"/>
      <c r="AA856" s="77"/>
      <c r="AB856" s="77"/>
      <c r="AC856" s="77"/>
      <c r="AD856" s="77"/>
      <c r="AE856" s="77"/>
      <c r="AF856" s="77"/>
      <c r="AG856" s="77"/>
      <c r="AH856" s="78"/>
      <c r="AI856" s="78"/>
      <c r="AJ856" s="78"/>
      <c r="AK856" s="78"/>
      <c r="AL856" s="78"/>
      <c r="AM856" s="78"/>
      <c r="AN856" s="76"/>
      <c r="AO856" s="76"/>
      <c r="AP856" s="76"/>
      <c r="AQ856" s="76"/>
      <c r="AR856" s="76"/>
      <c r="AS856" s="76"/>
      <c r="AT856" s="76"/>
      <c r="AU856" s="76"/>
      <c r="AV856" s="76"/>
      <c r="AW856" s="79"/>
      <c r="AX856" s="79"/>
      <c r="AY856" s="79"/>
      <c r="AZ856" s="79"/>
      <c r="BA856" s="79"/>
      <c r="BB856" s="11"/>
      <c r="BC856" s="11"/>
      <c r="BD856" s="11"/>
      <c r="BE856" s="73"/>
      <c r="BF856" s="73"/>
      <c r="BG856" s="73"/>
      <c r="BH856" s="77"/>
      <c r="BI856" s="77"/>
      <c r="BJ856" s="77"/>
      <c r="BK856" s="77"/>
      <c r="BL856" s="77"/>
      <c r="BM856" s="77"/>
      <c r="BN856" s="158"/>
      <c r="BO856" s="158"/>
    </row>
    <row r="857" spans="1:67" ht="15" x14ac:dyDescent="0.25">
      <c r="A857" s="71"/>
      <c r="B857" s="11"/>
      <c r="C857" s="11"/>
      <c r="D857" s="11"/>
      <c r="E857" s="11"/>
      <c r="F857" s="11"/>
      <c r="G857" s="11"/>
      <c r="H857" s="11"/>
      <c r="I857" s="11"/>
      <c r="J857" s="249"/>
      <c r="K857" s="72"/>
      <c r="L857" s="73"/>
      <c r="M857" s="73"/>
      <c r="N857" s="74"/>
      <c r="O857" s="75"/>
      <c r="P857" s="73"/>
      <c r="Q857" s="76"/>
      <c r="R857" s="76"/>
      <c r="S857" s="76"/>
      <c r="T857" s="76"/>
      <c r="U857" s="76"/>
      <c r="V857" s="76"/>
      <c r="W857" s="76"/>
      <c r="X857" s="76"/>
      <c r="Y857" s="76"/>
      <c r="Z857" s="77"/>
      <c r="AA857" s="77"/>
      <c r="AB857" s="77"/>
      <c r="AC857" s="77"/>
      <c r="AD857" s="77"/>
      <c r="AE857" s="77"/>
      <c r="AF857" s="77"/>
      <c r="AG857" s="77"/>
      <c r="AH857" s="78"/>
      <c r="AI857" s="78"/>
      <c r="AJ857" s="78"/>
      <c r="AK857" s="78"/>
      <c r="AL857" s="78"/>
      <c r="AM857" s="78"/>
      <c r="AN857" s="76"/>
      <c r="AO857" s="76"/>
      <c r="AP857" s="76"/>
      <c r="AQ857" s="76"/>
      <c r="AR857" s="76"/>
      <c r="AS857" s="76"/>
      <c r="AT857" s="76"/>
      <c r="AU857" s="76"/>
      <c r="AV857" s="76"/>
      <c r="AW857" s="79"/>
      <c r="AX857" s="79"/>
      <c r="AY857" s="79"/>
      <c r="AZ857" s="79"/>
      <c r="BA857" s="79"/>
      <c r="BB857" s="11"/>
      <c r="BC857" s="11"/>
      <c r="BD857" s="11"/>
      <c r="BE857" s="73"/>
      <c r="BF857" s="73"/>
      <c r="BG857" s="73"/>
      <c r="BH857" s="77"/>
      <c r="BI857" s="77"/>
      <c r="BJ857" s="77"/>
      <c r="BK857" s="77"/>
      <c r="BL857" s="77"/>
      <c r="BM857" s="77"/>
      <c r="BN857" s="158"/>
      <c r="BO857" s="158"/>
    </row>
    <row r="858" spans="1:67" ht="15" x14ac:dyDescent="0.25">
      <c r="A858" s="71"/>
      <c r="B858" s="11"/>
      <c r="C858" s="11"/>
      <c r="D858" s="11"/>
      <c r="E858" s="11"/>
      <c r="F858" s="11"/>
      <c r="G858" s="11"/>
      <c r="H858" s="11"/>
      <c r="I858" s="11"/>
      <c r="J858" s="249"/>
      <c r="K858" s="72"/>
      <c r="L858" s="73"/>
      <c r="M858" s="73"/>
      <c r="N858" s="74"/>
      <c r="O858" s="75"/>
      <c r="P858" s="73"/>
      <c r="Q858" s="76"/>
      <c r="R858" s="76"/>
      <c r="S858" s="76"/>
      <c r="T858" s="76"/>
      <c r="U858" s="76"/>
      <c r="V858" s="76"/>
      <c r="W858" s="76"/>
      <c r="X858" s="76"/>
      <c r="Y858" s="76"/>
      <c r="Z858" s="77"/>
      <c r="AA858" s="77"/>
      <c r="AB858" s="77"/>
      <c r="AC858" s="77"/>
      <c r="AD858" s="77"/>
      <c r="AE858" s="77"/>
      <c r="AF858" s="77"/>
      <c r="AG858" s="77"/>
      <c r="AH858" s="78"/>
      <c r="AI858" s="78"/>
      <c r="AJ858" s="78"/>
      <c r="AK858" s="78"/>
      <c r="AL858" s="78"/>
      <c r="AM858" s="78"/>
      <c r="AN858" s="76"/>
      <c r="AO858" s="76"/>
      <c r="AP858" s="76"/>
      <c r="AQ858" s="76"/>
      <c r="AR858" s="76"/>
      <c r="AS858" s="76"/>
      <c r="AT858" s="76"/>
      <c r="AU858" s="76"/>
      <c r="AV858" s="76"/>
      <c r="AW858" s="79"/>
      <c r="AX858" s="79"/>
      <c r="AY858" s="79"/>
      <c r="AZ858" s="79"/>
      <c r="BA858" s="79"/>
      <c r="BB858" s="11"/>
      <c r="BC858" s="11"/>
      <c r="BD858" s="11"/>
      <c r="BE858" s="73"/>
      <c r="BF858" s="73"/>
      <c r="BG858" s="73"/>
      <c r="BH858" s="77"/>
      <c r="BI858" s="77"/>
      <c r="BJ858" s="77"/>
      <c r="BK858" s="77"/>
      <c r="BL858" s="77"/>
      <c r="BM858" s="77"/>
      <c r="BN858" s="158"/>
      <c r="BO858" s="158"/>
    </row>
    <row r="859" spans="1:67" ht="15" x14ac:dyDescent="0.25">
      <c r="A859" s="71"/>
      <c r="B859" s="11"/>
      <c r="C859" s="11"/>
      <c r="D859" s="11"/>
      <c r="E859" s="11"/>
      <c r="F859" s="11"/>
      <c r="G859" s="11"/>
      <c r="H859" s="11"/>
      <c r="I859" s="11"/>
      <c r="J859" s="249"/>
      <c r="K859" s="72"/>
      <c r="L859" s="73"/>
      <c r="M859" s="73"/>
      <c r="N859" s="74"/>
      <c r="O859" s="75"/>
      <c r="P859" s="73"/>
      <c r="Q859" s="76"/>
      <c r="R859" s="76"/>
      <c r="S859" s="76"/>
      <c r="T859" s="76"/>
      <c r="U859" s="76"/>
      <c r="V859" s="76"/>
      <c r="W859" s="76"/>
      <c r="X859" s="76"/>
      <c r="Y859" s="76"/>
      <c r="Z859" s="77"/>
      <c r="AA859" s="77"/>
      <c r="AB859" s="77"/>
      <c r="AC859" s="77"/>
      <c r="AD859" s="77"/>
      <c r="AE859" s="77"/>
      <c r="AF859" s="77"/>
      <c r="AG859" s="77"/>
      <c r="AH859" s="78"/>
      <c r="AI859" s="78"/>
      <c r="AJ859" s="78"/>
      <c r="AK859" s="78"/>
      <c r="AL859" s="78"/>
      <c r="AM859" s="78"/>
      <c r="AN859" s="76"/>
      <c r="AO859" s="76"/>
      <c r="AP859" s="76"/>
      <c r="AQ859" s="76"/>
      <c r="AR859" s="76"/>
      <c r="AS859" s="76"/>
      <c r="AT859" s="76"/>
      <c r="AU859" s="76"/>
      <c r="AV859" s="76"/>
      <c r="AW859" s="79"/>
      <c r="AX859" s="79"/>
      <c r="AY859" s="79"/>
      <c r="AZ859" s="79"/>
      <c r="BA859" s="79"/>
      <c r="BB859" s="11"/>
      <c r="BC859" s="11"/>
      <c r="BD859" s="11"/>
      <c r="BE859" s="73"/>
      <c r="BF859" s="73"/>
      <c r="BG859" s="73"/>
      <c r="BH859" s="77"/>
      <c r="BI859" s="77"/>
      <c r="BJ859" s="77"/>
      <c r="BK859" s="77"/>
      <c r="BL859" s="77"/>
      <c r="BM859" s="77"/>
      <c r="BN859" s="158"/>
      <c r="BO859" s="158"/>
    </row>
    <row r="860" spans="1:67" ht="15" x14ac:dyDescent="0.25">
      <c r="A860" s="71"/>
      <c r="B860" s="11"/>
      <c r="C860" s="11"/>
      <c r="D860" s="11"/>
      <c r="E860" s="11"/>
      <c r="F860" s="11"/>
      <c r="G860" s="11"/>
      <c r="H860" s="11"/>
      <c r="I860" s="11"/>
      <c r="J860" s="249"/>
      <c r="K860" s="72"/>
      <c r="L860" s="73"/>
      <c r="M860" s="73"/>
      <c r="N860" s="74"/>
      <c r="O860" s="75"/>
      <c r="P860" s="73"/>
      <c r="Q860" s="76"/>
      <c r="R860" s="76"/>
      <c r="S860" s="76"/>
      <c r="T860" s="76"/>
      <c r="U860" s="76"/>
      <c r="V860" s="76"/>
      <c r="W860" s="76"/>
      <c r="X860" s="76"/>
      <c r="Y860" s="76"/>
      <c r="Z860" s="77"/>
      <c r="AA860" s="77"/>
      <c r="AB860" s="77"/>
      <c r="AC860" s="77"/>
      <c r="AD860" s="77"/>
      <c r="AE860" s="77"/>
      <c r="AF860" s="77"/>
      <c r="AG860" s="77"/>
      <c r="AH860" s="78"/>
      <c r="AI860" s="78"/>
      <c r="AJ860" s="78"/>
      <c r="AK860" s="78"/>
      <c r="AL860" s="78"/>
      <c r="AM860" s="78"/>
      <c r="AN860" s="76"/>
      <c r="AO860" s="76"/>
      <c r="AP860" s="76"/>
      <c r="AQ860" s="76"/>
      <c r="AR860" s="76"/>
      <c r="AS860" s="76"/>
      <c r="AT860" s="76"/>
      <c r="AU860" s="76"/>
      <c r="AV860" s="76"/>
      <c r="AW860" s="79"/>
      <c r="AX860" s="79"/>
      <c r="AY860" s="79"/>
      <c r="AZ860" s="79"/>
      <c r="BA860" s="79"/>
      <c r="BB860" s="11"/>
      <c r="BC860" s="11"/>
      <c r="BD860" s="11"/>
      <c r="BE860" s="73"/>
      <c r="BF860" s="73"/>
      <c r="BG860" s="73"/>
      <c r="BH860" s="77"/>
      <c r="BI860" s="77"/>
      <c r="BJ860" s="77"/>
      <c r="BK860" s="77"/>
      <c r="BL860" s="77"/>
      <c r="BM860" s="77"/>
      <c r="BN860" s="158"/>
      <c r="BO860" s="158"/>
    </row>
    <row r="861" spans="1:67" ht="15" x14ac:dyDescent="0.25">
      <c r="A861" s="71"/>
      <c r="B861" s="11"/>
      <c r="C861" s="11"/>
      <c r="D861" s="11"/>
      <c r="E861" s="11"/>
      <c r="F861" s="11"/>
      <c r="G861" s="11"/>
      <c r="H861" s="11"/>
      <c r="I861" s="11"/>
      <c r="J861" s="249"/>
      <c r="K861" s="72"/>
      <c r="L861" s="73"/>
      <c r="M861" s="73"/>
      <c r="N861" s="74"/>
      <c r="O861" s="75"/>
      <c r="P861" s="73"/>
      <c r="Q861" s="76"/>
      <c r="R861" s="76"/>
      <c r="S861" s="76"/>
      <c r="T861" s="76"/>
      <c r="U861" s="76"/>
      <c r="V861" s="76"/>
      <c r="W861" s="76"/>
      <c r="X861" s="76"/>
      <c r="Y861" s="76"/>
      <c r="Z861" s="77"/>
      <c r="AA861" s="77"/>
      <c r="AB861" s="77"/>
      <c r="AC861" s="77"/>
      <c r="AD861" s="77"/>
      <c r="AE861" s="77"/>
      <c r="AF861" s="77"/>
      <c r="AG861" s="77"/>
      <c r="AH861" s="78"/>
      <c r="AI861" s="78"/>
      <c r="AJ861" s="78"/>
      <c r="AK861" s="78"/>
      <c r="AL861" s="78"/>
      <c r="AM861" s="78"/>
      <c r="AN861" s="76"/>
      <c r="AO861" s="76"/>
      <c r="AP861" s="76"/>
      <c r="AQ861" s="76"/>
      <c r="AR861" s="76"/>
      <c r="AS861" s="76"/>
      <c r="AT861" s="76"/>
      <c r="AU861" s="76"/>
      <c r="AV861" s="76"/>
      <c r="AW861" s="79"/>
      <c r="AX861" s="79"/>
      <c r="AY861" s="79"/>
      <c r="AZ861" s="79"/>
      <c r="BA861" s="79"/>
      <c r="BB861" s="11"/>
      <c r="BC861" s="11"/>
      <c r="BD861" s="11"/>
      <c r="BE861" s="73"/>
      <c r="BF861" s="73"/>
      <c r="BG861" s="73"/>
      <c r="BH861" s="77"/>
      <c r="BI861" s="77"/>
      <c r="BJ861" s="77"/>
      <c r="BK861" s="77"/>
      <c r="BL861" s="77"/>
      <c r="BM861" s="77"/>
      <c r="BN861" s="158"/>
      <c r="BO861" s="158"/>
    </row>
    <row r="862" spans="1:67" ht="15" x14ac:dyDescent="0.25">
      <c r="A862" s="71"/>
      <c r="B862" s="11"/>
      <c r="C862" s="11"/>
      <c r="D862" s="11"/>
      <c r="E862" s="11"/>
      <c r="F862" s="11"/>
      <c r="G862" s="11"/>
      <c r="H862" s="11"/>
      <c r="I862" s="11"/>
      <c r="J862" s="249"/>
      <c r="K862" s="72"/>
      <c r="L862" s="73"/>
      <c r="M862" s="73"/>
      <c r="N862" s="74"/>
      <c r="O862" s="75"/>
      <c r="P862" s="73"/>
      <c r="Q862" s="76"/>
      <c r="R862" s="76"/>
      <c r="S862" s="76"/>
      <c r="T862" s="76"/>
      <c r="U862" s="76"/>
      <c r="V862" s="76"/>
      <c r="W862" s="76"/>
      <c r="X862" s="76"/>
      <c r="Y862" s="76"/>
      <c r="Z862" s="77"/>
      <c r="AA862" s="77"/>
      <c r="AB862" s="77"/>
      <c r="AC862" s="77"/>
      <c r="AD862" s="77"/>
      <c r="AE862" s="77"/>
      <c r="AF862" s="77"/>
      <c r="AG862" s="77"/>
      <c r="AH862" s="78"/>
      <c r="AI862" s="78"/>
      <c r="AJ862" s="78"/>
      <c r="AK862" s="78"/>
      <c r="AL862" s="78"/>
      <c r="AM862" s="78"/>
      <c r="AN862" s="76"/>
      <c r="AO862" s="76"/>
      <c r="AP862" s="76"/>
      <c r="AQ862" s="76"/>
      <c r="AR862" s="76"/>
      <c r="AS862" s="76"/>
      <c r="AT862" s="76"/>
      <c r="AU862" s="76"/>
      <c r="AV862" s="76"/>
      <c r="AW862" s="79"/>
      <c r="AX862" s="79"/>
      <c r="AY862" s="79"/>
      <c r="AZ862" s="79"/>
      <c r="BA862" s="79"/>
      <c r="BB862" s="11"/>
      <c r="BC862" s="11"/>
      <c r="BD862" s="11"/>
      <c r="BE862" s="73"/>
      <c r="BF862" s="73"/>
      <c r="BG862" s="73"/>
      <c r="BH862" s="77"/>
      <c r="BI862" s="77"/>
      <c r="BJ862" s="77"/>
      <c r="BK862" s="77"/>
      <c r="BL862" s="77"/>
      <c r="BM862" s="77"/>
      <c r="BN862" s="158"/>
      <c r="BO862" s="158"/>
    </row>
    <row r="863" spans="1:67" ht="15" x14ac:dyDescent="0.25">
      <c r="A863" s="71"/>
      <c r="B863" s="11"/>
      <c r="C863" s="11"/>
      <c r="D863" s="11"/>
      <c r="E863" s="11"/>
      <c r="F863" s="11"/>
      <c r="G863" s="11"/>
      <c r="H863" s="11"/>
      <c r="I863" s="11"/>
      <c r="J863" s="249"/>
      <c r="K863" s="72"/>
      <c r="L863" s="73"/>
      <c r="M863" s="73"/>
      <c r="N863" s="74"/>
      <c r="O863" s="75"/>
      <c r="P863" s="73"/>
      <c r="Q863" s="76"/>
      <c r="R863" s="76"/>
      <c r="S863" s="76"/>
      <c r="T863" s="76"/>
      <c r="U863" s="76"/>
      <c r="V863" s="76"/>
      <c r="W863" s="76"/>
      <c r="X863" s="76"/>
      <c r="Y863" s="76"/>
      <c r="Z863" s="77"/>
      <c r="AA863" s="77"/>
      <c r="AB863" s="77"/>
      <c r="AC863" s="77"/>
      <c r="AD863" s="77"/>
      <c r="AE863" s="77"/>
      <c r="AF863" s="77"/>
      <c r="AG863" s="77"/>
      <c r="AH863" s="78"/>
      <c r="AI863" s="78"/>
      <c r="AJ863" s="78"/>
      <c r="AK863" s="78"/>
      <c r="AL863" s="78"/>
      <c r="AM863" s="78"/>
      <c r="AN863" s="76"/>
      <c r="AO863" s="76"/>
      <c r="AP863" s="76"/>
      <c r="AQ863" s="76"/>
      <c r="AR863" s="76"/>
      <c r="AS863" s="76"/>
      <c r="AT863" s="76"/>
      <c r="AU863" s="76"/>
      <c r="AV863" s="76"/>
      <c r="AW863" s="79"/>
      <c r="AX863" s="79"/>
      <c r="AY863" s="79"/>
      <c r="AZ863" s="79"/>
      <c r="BA863" s="79"/>
      <c r="BB863" s="11"/>
      <c r="BC863" s="11"/>
      <c r="BD863" s="11"/>
      <c r="BE863" s="73"/>
      <c r="BF863" s="73"/>
      <c r="BG863" s="73"/>
      <c r="BH863" s="77"/>
      <c r="BI863" s="77"/>
      <c r="BJ863" s="77"/>
      <c r="BK863" s="77"/>
      <c r="BL863" s="77"/>
      <c r="BM863" s="77"/>
      <c r="BN863" s="158"/>
      <c r="BO863" s="158"/>
    </row>
    <row r="864" spans="1:67" ht="15" x14ac:dyDescent="0.25">
      <c r="A864" s="71"/>
      <c r="B864" s="11"/>
      <c r="C864" s="11"/>
      <c r="D864" s="11"/>
      <c r="E864" s="11"/>
      <c r="F864" s="11"/>
      <c r="G864" s="11"/>
      <c r="H864" s="11"/>
      <c r="I864" s="11"/>
      <c r="J864" s="249"/>
      <c r="K864" s="72"/>
      <c r="L864" s="73"/>
      <c r="M864" s="73"/>
      <c r="N864" s="74"/>
      <c r="O864" s="75"/>
      <c r="P864" s="73"/>
      <c r="Q864" s="76"/>
      <c r="R864" s="76"/>
      <c r="S864" s="76"/>
      <c r="T864" s="76"/>
      <c r="U864" s="76"/>
      <c r="V864" s="76"/>
      <c r="W864" s="76"/>
      <c r="X864" s="76"/>
      <c r="Y864" s="76"/>
      <c r="Z864" s="77"/>
      <c r="AA864" s="77"/>
      <c r="AB864" s="77"/>
      <c r="AC864" s="77"/>
      <c r="AD864" s="77"/>
      <c r="AE864" s="77"/>
      <c r="AF864" s="77"/>
      <c r="AG864" s="77"/>
      <c r="AH864" s="78"/>
      <c r="AI864" s="78"/>
      <c r="AJ864" s="78"/>
      <c r="AK864" s="78"/>
      <c r="AL864" s="78"/>
      <c r="AM864" s="78"/>
      <c r="AN864" s="76"/>
      <c r="AO864" s="76"/>
      <c r="AP864" s="76"/>
      <c r="AQ864" s="76"/>
      <c r="AR864" s="76"/>
      <c r="AS864" s="76"/>
      <c r="AT864" s="76"/>
      <c r="AU864" s="76"/>
      <c r="AV864" s="76"/>
      <c r="AW864" s="79"/>
      <c r="AX864" s="79"/>
      <c r="AY864" s="79"/>
      <c r="AZ864" s="79"/>
      <c r="BA864" s="79"/>
      <c r="BB864" s="11"/>
      <c r="BC864" s="11"/>
      <c r="BD864" s="11"/>
      <c r="BE864" s="73"/>
      <c r="BF864" s="73"/>
      <c r="BG864" s="73"/>
      <c r="BH864" s="77"/>
      <c r="BI864" s="77"/>
      <c r="BJ864" s="77"/>
      <c r="BK864" s="77"/>
      <c r="BL864" s="77"/>
      <c r="BM864" s="77"/>
      <c r="BN864" s="158"/>
      <c r="BO864" s="158"/>
    </row>
    <row r="865" spans="1:67" ht="15" x14ac:dyDescent="0.25">
      <c r="A865" s="71"/>
      <c r="B865" s="11"/>
      <c r="C865" s="11"/>
      <c r="D865" s="11"/>
      <c r="E865" s="11"/>
      <c r="F865" s="11"/>
      <c r="G865" s="11"/>
      <c r="H865" s="11"/>
      <c r="I865" s="11"/>
      <c r="J865" s="249"/>
      <c r="K865" s="72"/>
      <c r="L865" s="73"/>
      <c r="M865" s="73"/>
      <c r="N865" s="74"/>
      <c r="O865" s="75"/>
      <c r="P865" s="73"/>
      <c r="Q865" s="76"/>
      <c r="R865" s="76"/>
      <c r="S865" s="76"/>
      <c r="T865" s="76"/>
      <c r="U865" s="76"/>
      <c r="V865" s="76"/>
      <c r="W865" s="76"/>
      <c r="X865" s="76"/>
      <c r="Y865" s="76"/>
      <c r="Z865" s="77"/>
      <c r="AA865" s="77"/>
      <c r="AB865" s="77"/>
      <c r="AC865" s="77"/>
      <c r="AD865" s="77"/>
      <c r="AE865" s="77"/>
      <c r="AF865" s="77"/>
      <c r="AG865" s="77"/>
      <c r="AH865" s="78"/>
      <c r="AI865" s="78"/>
      <c r="AJ865" s="78"/>
      <c r="AK865" s="78"/>
      <c r="AL865" s="78"/>
      <c r="AM865" s="78"/>
      <c r="AN865" s="76"/>
      <c r="AO865" s="76"/>
      <c r="AP865" s="76"/>
      <c r="AQ865" s="76"/>
      <c r="AR865" s="76"/>
      <c r="AS865" s="76"/>
      <c r="AT865" s="76"/>
      <c r="AU865" s="76"/>
      <c r="AV865" s="76"/>
      <c r="AW865" s="79"/>
      <c r="AX865" s="79"/>
      <c r="AY865" s="79"/>
      <c r="AZ865" s="79"/>
      <c r="BA865" s="79"/>
      <c r="BB865" s="11"/>
      <c r="BC865" s="11"/>
      <c r="BD865" s="11"/>
      <c r="BE865" s="73"/>
      <c r="BF865" s="73"/>
      <c r="BG865" s="73"/>
      <c r="BH865" s="77"/>
      <c r="BI865" s="77"/>
      <c r="BJ865" s="77"/>
      <c r="BK865" s="77"/>
      <c r="BL865" s="77"/>
      <c r="BM865" s="77"/>
      <c r="BN865" s="158"/>
      <c r="BO865" s="158"/>
    </row>
    <row r="866" spans="1:67" ht="15" x14ac:dyDescent="0.25">
      <c r="A866" s="71"/>
      <c r="B866" s="11"/>
      <c r="C866" s="11"/>
      <c r="D866" s="11"/>
      <c r="E866" s="11"/>
      <c r="F866" s="11"/>
      <c r="G866" s="11"/>
      <c r="H866" s="11"/>
      <c r="I866" s="11"/>
      <c r="J866" s="249"/>
      <c r="K866" s="72"/>
      <c r="L866" s="73"/>
      <c r="M866" s="73"/>
      <c r="N866" s="74"/>
      <c r="O866" s="75"/>
      <c r="P866" s="73"/>
      <c r="Q866" s="76"/>
      <c r="R866" s="76"/>
      <c r="S866" s="76"/>
      <c r="T866" s="76"/>
      <c r="U866" s="76"/>
      <c r="V866" s="76"/>
      <c r="W866" s="76"/>
      <c r="X866" s="76"/>
      <c r="Y866" s="76"/>
      <c r="Z866" s="77"/>
      <c r="AA866" s="77"/>
      <c r="AB866" s="77"/>
      <c r="AC866" s="77"/>
      <c r="AD866" s="77"/>
      <c r="AE866" s="77"/>
      <c r="AF866" s="77"/>
      <c r="AG866" s="77"/>
      <c r="AH866" s="78"/>
      <c r="AI866" s="78"/>
      <c r="AJ866" s="78"/>
      <c r="AK866" s="78"/>
      <c r="AL866" s="78"/>
      <c r="AM866" s="78"/>
      <c r="AN866" s="76"/>
      <c r="AO866" s="76"/>
      <c r="AP866" s="76"/>
      <c r="AQ866" s="76"/>
      <c r="AR866" s="76"/>
      <c r="AS866" s="76"/>
      <c r="AT866" s="76"/>
      <c r="AU866" s="76"/>
      <c r="AV866" s="76"/>
      <c r="AW866" s="79"/>
      <c r="AX866" s="79"/>
      <c r="AY866" s="79"/>
      <c r="AZ866" s="79"/>
      <c r="BA866" s="79"/>
      <c r="BB866" s="11"/>
      <c r="BC866" s="11"/>
      <c r="BD866" s="11"/>
      <c r="BE866" s="73"/>
      <c r="BF866" s="73"/>
      <c r="BG866" s="73"/>
      <c r="BH866" s="77"/>
      <c r="BI866" s="77"/>
      <c r="BJ866" s="77"/>
      <c r="BK866" s="77"/>
      <c r="BL866" s="77"/>
      <c r="BM866" s="77"/>
      <c r="BN866" s="158"/>
      <c r="BO866" s="158"/>
    </row>
    <row r="867" spans="1:67" ht="15" x14ac:dyDescent="0.25">
      <c r="A867" s="71"/>
      <c r="B867" s="11"/>
      <c r="C867" s="11"/>
      <c r="D867" s="11"/>
      <c r="E867" s="11"/>
      <c r="F867" s="11"/>
      <c r="G867" s="11"/>
      <c r="H867" s="11"/>
      <c r="I867" s="11"/>
      <c r="J867" s="249"/>
      <c r="K867" s="72"/>
      <c r="L867" s="73"/>
      <c r="M867" s="73"/>
      <c r="N867" s="74"/>
      <c r="O867" s="75"/>
      <c r="P867" s="73"/>
      <c r="Q867" s="76"/>
      <c r="R867" s="76"/>
      <c r="S867" s="76"/>
      <c r="T867" s="76"/>
      <c r="U867" s="76"/>
      <c r="V867" s="76"/>
      <c r="W867" s="76"/>
      <c r="X867" s="76"/>
      <c r="Y867" s="76"/>
      <c r="Z867" s="77"/>
      <c r="AA867" s="77"/>
      <c r="AB867" s="77"/>
      <c r="AC867" s="77"/>
      <c r="AD867" s="77"/>
      <c r="AE867" s="77"/>
      <c r="AF867" s="77"/>
      <c r="AG867" s="77"/>
      <c r="AH867" s="78"/>
      <c r="AI867" s="78"/>
      <c r="AJ867" s="78"/>
      <c r="AK867" s="78"/>
      <c r="AL867" s="78"/>
      <c r="AM867" s="78"/>
      <c r="AN867" s="76"/>
      <c r="AO867" s="76"/>
      <c r="AP867" s="76"/>
      <c r="AQ867" s="76"/>
      <c r="AR867" s="76"/>
      <c r="AS867" s="76"/>
      <c r="AT867" s="76"/>
      <c r="AU867" s="76"/>
      <c r="AV867" s="76"/>
      <c r="AW867" s="79"/>
      <c r="AX867" s="79"/>
      <c r="AY867" s="79"/>
      <c r="AZ867" s="79"/>
      <c r="BA867" s="79"/>
      <c r="BB867" s="11"/>
      <c r="BC867" s="11"/>
      <c r="BD867" s="11"/>
      <c r="BE867" s="73"/>
      <c r="BF867" s="73"/>
      <c r="BG867" s="73"/>
      <c r="BH867" s="77"/>
      <c r="BI867" s="77"/>
      <c r="BJ867" s="77"/>
      <c r="BK867" s="77"/>
      <c r="BL867" s="77"/>
      <c r="BM867" s="77"/>
      <c r="BN867" s="158"/>
      <c r="BO867" s="158"/>
    </row>
    <row r="868" spans="1:67" ht="15" x14ac:dyDescent="0.25">
      <c r="A868" s="71"/>
      <c r="B868" s="11"/>
      <c r="C868" s="11"/>
      <c r="D868" s="11"/>
      <c r="E868" s="11"/>
      <c r="F868" s="11"/>
      <c r="G868" s="11"/>
      <c r="H868" s="11"/>
      <c r="I868" s="11"/>
      <c r="J868" s="249"/>
      <c r="K868" s="72"/>
      <c r="L868" s="73"/>
      <c r="M868" s="73"/>
      <c r="N868" s="74"/>
      <c r="O868" s="75"/>
      <c r="P868" s="73"/>
      <c r="Q868" s="76"/>
      <c r="R868" s="76"/>
      <c r="S868" s="76"/>
      <c r="T868" s="76"/>
      <c r="U868" s="76"/>
      <c r="V868" s="76"/>
      <c r="W868" s="76"/>
      <c r="X868" s="76"/>
      <c r="Y868" s="76"/>
      <c r="Z868" s="77"/>
      <c r="AA868" s="77"/>
      <c r="AB868" s="77"/>
      <c r="AC868" s="77"/>
      <c r="AD868" s="77"/>
      <c r="AE868" s="77"/>
      <c r="AF868" s="77"/>
      <c r="AG868" s="77"/>
      <c r="AH868" s="78"/>
      <c r="AI868" s="78"/>
      <c r="AJ868" s="78"/>
      <c r="AK868" s="78"/>
      <c r="AL868" s="78"/>
      <c r="AM868" s="78"/>
      <c r="AN868" s="76"/>
      <c r="AO868" s="76"/>
      <c r="AP868" s="76"/>
      <c r="AQ868" s="76"/>
      <c r="AR868" s="76"/>
      <c r="AS868" s="76"/>
      <c r="AT868" s="76"/>
      <c r="AU868" s="76"/>
      <c r="AV868" s="76"/>
      <c r="AW868" s="79"/>
      <c r="AX868" s="79"/>
      <c r="AY868" s="79"/>
      <c r="AZ868" s="79"/>
      <c r="BA868" s="79"/>
      <c r="BB868" s="11"/>
      <c r="BC868" s="11"/>
      <c r="BD868" s="11"/>
      <c r="BE868" s="73"/>
      <c r="BF868" s="73"/>
      <c r="BG868" s="73"/>
      <c r="BH868" s="77"/>
      <c r="BI868" s="77"/>
      <c r="BJ868" s="77"/>
      <c r="BK868" s="77"/>
      <c r="BL868" s="77"/>
      <c r="BM868" s="77"/>
      <c r="BN868" s="158"/>
      <c r="BO868" s="158"/>
    </row>
    <row r="869" spans="1:67" ht="15" x14ac:dyDescent="0.25">
      <c r="A869" s="71"/>
      <c r="B869" s="11"/>
      <c r="C869" s="11"/>
      <c r="D869" s="11"/>
      <c r="E869" s="11"/>
      <c r="F869" s="11"/>
      <c r="G869" s="11"/>
      <c r="H869" s="11"/>
      <c r="I869" s="11"/>
      <c r="J869" s="249"/>
      <c r="K869" s="72"/>
      <c r="L869" s="73"/>
      <c r="M869" s="73"/>
      <c r="N869" s="74"/>
      <c r="O869" s="75"/>
      <c r="P869" s="73"/>
      <c r="Q869" s="76"/>
      <c r="R869" s="76"/>
      <c r="S869" s="76"/>
      <c r="T869" s="76"/>
      <c r="U869" s="76"/>
      <c r="V869" s="76"/>
      <c r="W869" s="76"/>
      <c r="X869" s="76"/>
      <c r="Y869" s="76"/>
      <c r="Z869" s="77"/>
      <c r="AA869" s="77"/>
      <c r="AB869" s="77"/>
      <c r="AC869" s="77"/>
      <c r="AD869" s="77"/>
      <c r="AE869" s="77"/>
      <c r="AF869" s="77"/>
      <c r="AG869" s="77"/>
      <c r="AH869" s="78"/>
      <c r="AI869" s="78"/>
      <c r="AJ869" s="78"/>
      <c r="AK869" s="78"/>
      <c r="AL869" s="78"/>
      <c r="AM869" s="78"/>
      <c r="AN869" s="76"/>
      <c r="AO869" s="76"/>
      <c r="AP869" s="76"/>
      <c r="AQ869" s="76"/>
      <c r="AR869" s="76"/>
      <c r="AS869" s="76"/>
      <c r="AT869" s="76"/>
      <c r="AU869" s="76"/>
      <c r="AV869" s="76"/>
      <c r="AW869" s="79"/>
      <c r="AX869" s="79"/>
      <c r="AY869" s="79"/>
      <c r="AZ869" s="79"/>
      <c r="BA869" s="79"/>
      <c r="BB869" s="11"/>
      <c r="BC869" s="11"/>
      <c r="BD869" s="11"/>
      <c r="BE869" s="73"/>
      <c r="BF869" s="73"/>
      <c r="BG869" s="73"/>
      <c r="BH869" s="77"/>
      <c r="BI869" s="77"/>
      <c r="BJ869" s="77"/>
      <c r="BK869" s="77"/>
      <c r="BL869" s="77"/>
      <c r="BM869" s="77"/>
      <c r="BN869" s="158"/>
      <c r="BO869" s="158"/>
    </row>
    <row r="870" spans="1:67" ht="15" x14ac:dyDescent="0.25">
      <c r="A870" s="71"/>
      <c r="B870" s="11"/>
      <c r="C870" s="11"/>
      <c r="D870" s="11"/>
      <c r="E870" s="11"/>
      <c r="F870" s="11"/>
      <c r="G870" s="11"/>
      <c r="H870" s="11"/>
      <c r="I870" s="11"/>
      <c r="J870" s="249"/>
      <c r="K870" s="72"/>
      <c r="L870" s="73"/>
      <c r="M870" s="73"/>
      <c r="N870" s="74"/>
      <c r="O870" s="75"/>
      <c r="P870" s="73"/>
      <c r="Q870" s="76"/>
      <c r="R870" s="76"/>
      <c r="S870" s="76"/>
      <c r="T870" s="76"/>
      <c r="U870" s="76"/>
      <c r="V870" s="76"/>
      <c r="W870" s="76"/>
      <c r="X870" s="76"/>
      <c r="Y870" s="76"/>
      <c r="Z870" s="77"/>
      <c r="AA870" s="77"/>
      <c r="AB870" s="77"/>
      <c r="AC870" s="77"/>
      <c r="AD870" s="77"/>
      <c r="AE870" s="77"/>
      <c r="AF870" s="77"/>
      <c r="AG870" s="77"/>
      <c r="AH870" s="78"/>
      <c r="AI870" s="78"/>
      <c r="AJ870" s="78"/>
      <c r="AK870" s="78"/>
      <c r="AL870" s="78"/>
      <c r="AM870" s="78"/>
      <c r="AN870" s="76"/>
      <c r="AO870" s="76"/>
      <c r="AP870" s="76"/>
      <c r="AQ870" s="76"/>
      <c r="AR870" s="76"/>
      <c r="AS870" s="76"/>
      <c r="AT870" s="76"/>
      <c r="AU870" s="76"/>
      <c r="AV870" s="76"/>
      <c r="AW870" s="79"/>
      <c r="AX870" s="79"/>
      <c r="AY870" s="79"/>
      <c r="AZ870" s="79"/>
      <c r="BA870" s="79"/>
      <c r="BB870" s="11"/>
      <c r="BC870" s="11"/>
      <c r="BD870" s="11"/>
      <c r="BE870" s="73"/>
      <c r="BF870" s="73"/>
      <c r="BG870" s="73"/>
      <c r="BH870" s="77"/>
      <c r="BI870" s="77"/>
      <c r="BJ870" s="77"/>
      <c r="BK870" s="77"/>
      <c r="BL870" s="77"/>
      <c r="BM870" s="77"/>
      <c r="BN870" s="158"/>
      <c r="BO870" s="158"/>
    </row>
    <row r="871" spans="1:67" ht="15" x14ac:dyDescent="0.25">
      <c r="A871" s="71"/>
      <c r="B871" s="11"/>
      <c r="C871" s="11"/>
      <c r="D871" s="11"/>
      <c r="E871" s="11"/>
      <c r="F871" s="11"/>
      <c r="G871" s="11"/>
      <c r="H871" s="11"/>
      <c r="I871" s="11"/>
      <c r="J871" s="249"/>
      <c r="K871" s="72"/>
      <c r="L871" s="73"/>
      <c r="M871" s="73"/>
      <c r="N871" s="74"/>
      <c r="O871" s="75"/>
      <c r="P871" s="73"/>
      <c r="Q871" s="76"/>
      <c r="R871" s="76"/>
      <c r="S871" s="76"/>
      <c r="T871" s="76"/>
      <c r="U871" s="76"/>
      <c r="V871" s="76"/>
      <c r="W871" s="76"/>
      <c r="X871" s="76"/>
      <c r="Y871" s="76"/>
      <c r="Z871" s="77"/>
      <c r="AA871" s="77"/>
      <c r="AB871" s="77"/>
      <c r="AC871" s="77"/>
      <c r="AD871" s="77"/>
      <c r="AE871" s="77"/>
      <c r="AF871" s="77"/>
      <c r="AG871" s="77"/>
      <c r="AH871" s="78"/>
      <c r="AI871" s="78"/>
      <c r="AJ871" s="78"/>
      <c r="AK871" s="78"/>
      <c r="AL871" s="78"/>
      <c r="AM871" s="78"/>
      <c r="AN871" s="76"/>
      <c r="AO871" s="76"/>
      <c r="AP871" s="76"/>
      <c r="AQ871" s="76"/>
      <c r="AR871" s="76"/>
      <c r="AS871" s="76"/>
      <c r="AT871" s="76"/>
      <c r="AU871" s="76"/>
      <c r="AV871" s="76"/>
      <c r="AW871" s="79"/>
      <c r="AX871" s="79"/>
      <c r="AY871" s="79"/>
      <c r="AZ871" s="79"/>
      <c r="BA871" s="79"/>
      <c r="BB871" s="11"/>
      <c r="BC871" s="11"/>
      <c r="BD871" s="11"/>
      <c r="BE871" s="73"/>
      <c r="BF871" s="73"/>
      <c r="BG871" s="73"/>
      <c r="BH871" s="77"/>
      <c r="BI871" s="77"/>
      <c r="BJ871" s="77"/>
      <c r="BK871" s="77"/>
      <c r="BL871" s="77"/>
      <c r="BM871" s="77"/>
      <c r="BN871" s="158"/>
      <c r="BO871" s="158"/>
    </row>
    <row r="872" spans="1:67" ht="15" x14ac:dyDescent="0.25">
      <c r="A872" s="71"/>
      <c r="B872" s="11"/>
      <c r="C872" s="11"/>
      <c r="D872" s="11"/>
      <c r="E872" s="11"/>
      <c r="F872" s="11"/>
      <c r="G872" s="11"/>
      <c r="H872" s="11"/>
      <c r="I872" s="11"/>
      <c r="J872" s="249"/>
      <c r="K872" s="72"/>
      <c r="L872" s="73"/>
      <c r="M872" s="73"/>
      <c r="N872" s="74"/>
      <c r="O872" s="75"/>
      <c r="P872" s="73"/>
      <c r="Q872" s="76"/>
      <c r="R872" s="76"/>
      <c r="S872" s="76"/>
      <c r="T872" s="76"/>
      <c r="U872" s="76"/>
      <c r="V872" s="76"/>
      <c r="W872" s="76"/>
      <c r="X872" s="76"/>
      <c r="Y872" s="76"/>
      <c r="Z872" s="77"/>
      <c r="AA872" s="77"/>
      <c r="AB872" s="77"/>
      <c r="AC872" s="77"/>
      <c r="AD872" s="77"/>
      <c r="AE872" s="77"/>
      <c r="AF872" s="77"/>
      <c r="AG872" s="77"/>
      <c r="AH872" s="78"/>
      <c r="AI872" s="78"/>
      <c r="AJ872" s="78"/>
      <c r="AK872" s="78"/>
      <c r="AL872" s="78"/>
      <c r="AM872" s="78"/>
      <c r="AN872" s="76"/>
      <c r="AO872" s="76"/>
      <c r="AP872" s="76"/>
      <c r="AQ872" s="76"/>
      <c r="AR872" s="76"/>
      <c r="AS872" s="76"/>
      <c r="AT872" s="76"/>
      <c r="AU872" s="76"/>
      <c r="AV872" s="76"/>
      <c r="AW872" s="79"/>
      <c r="AX872" s="79"/>
      <c r="AY872" s="79"/>
      <c r="AZ872" s="79"/>
      <c r="BA872" s="79"/>
      <c r="BB872" s="11"/>
      <c r="BC872" s="11"/>
      <c r="BD872" s="11"/>
      <c r="BE872" s="73"/>
      <c r="BF872" s="73"/>
      <c r="BG872" s="73"/>
      <c r="BH872" s="77"/>
      <c r="BI872" s="77"/>
      <c r="BJ872" s="77"/>
      <c r="BK872" s="77"/>
      <c r="BL872" s="77"/>
      <c r="BM872" s="77"/>
      <c r="BN872" s="158"/>
      <c r="BO872" s="158"/>
    </row>
    <row r="873" spans="1:67" ht="15" x14ac:dyDescent="0.25">
      <c r="A873" s="71"/>
      <c r="B873" s="11"/>
      <c r="C873" s="11"/>
      <c r="D873" s="11"/>
      <c r="E873" s="11"/>
      <c r="F873" s="11"/>
      <c r="G873" s="11"/>
      <c r="H873" s="11"/>
      <c r="I873" s="11"/>
      <c r="J873" s="249"/>
      <c r="K873" s="72"/>
      <c r="L873" s="73"/>
      <c r="M873" s="73"/>
      <c r="N873" s="74"/>
      <c r="O873" s="75"/>
      <c r="P873" s="73"/>
      <c r="Q873" s="76"/>
      <c r="R873" s="76"/>
      <c r="S873" s="76"/>
      <c r="T873" s="76"/>
      <c r="U873" s="76"/>
      <c r="V873" s="76"/>
      <c r="W873" s="76"/>
      <c r="X873" s="76"/>
      <c r="Y873" s="76"/>
      <c r="Z873" s="77"/>
      <c r="AA873" s="77"/>
      <c r="AB873" s="77"/>
      <c r="AC873" s="77"/>
      <c r="AD873" s="77"/>
      <c r="AE873" s="77"/>
      <c r="AF873" s="77"/>
      <c r="AG873" s="77"/>
      <c r="AH873" s="78"/>
      <c r="AI873" s="78"/>
      <c r="AJ873" s="78"/>
      <c r="AK873" s="78"/>
      <c r="AL873" s="78"/>
      <c r="AM873" s="78"/>
      <c r="AN873" s="76"/>
      <c r="AO873" s="76"/>
      <c r="AP873" s="76"/>
      <c r="AQ873" s="76"/>
      <c r="AR873" s="76"/>
      <c r="AS873" s="76"/>
      <c r="AT873" s="76"/>
      <c r="AU873" s="76"/>
      <c r="AV873" s="76"/>
      <c r="AW873" s="79"/>
      <c r="AX873" s="79"/>
      <c r="AY873" s="79"/>
      <c r="AZ873" s="79"/>
      <c r="BA873" s="79"/>
      <c r="BB873" s="11"/>
      <c r="BC873" s="11"/>
      <c r="BD873" s="11"/>
      <c r="BE873" s="73"/>
      <c r="BF873" s="73"/>
      <c r="BG873" s="73"/>
      <c r="BH873" s="77"/>
      <c r="BI873" s="77"/>
      <c r="BJ873" s="77"/>
      <c r="BK873" s="77"/>
      <c r="BL873" s="77"/>
      <c r="BM873" s="77"/>
      <c r="BN873" s="158"/>
      <c r="BO873" s="158"/>
    </row>
    <row r="874" spans="1:67" ht="15" x14ac:dyDescent="0.25">
      <c r="A874" s="71"/>
      <c r="B874" s="11"/>
      <c r="C874" s="11"/>
      <c r="D874" s="11"/>
      <c r="E874" s="11"/>
      <c r="F874" s="11"/>
      <c r="G874" s="11"/>
      <c r="H874" s="11"/>
      <c r="I874" s="11"/>
      <c r="J874" s="249"/>
      <c r="K874" s="72"/>
      <c r="L874" s="73"/>
      <c r="M874" s="73"/>
      <c r="N874" s="74"/>
      <c r="O874" s="75"/>
      <c r="P874" s="73"/>
      <c r="Q874" s="76"/>
      <c r="R874" s="76"/>
      <c r="S874" s="76"/>
      <c r="T874" s="76"/>
      <c r="U874" s="76"/>
      <c r="V874" s="76"/>
      <c r="W874" s="76"/>
      <c r="X874" s="76"/>
      <c r="Y874" s="76"/>
      <c r="Z874" s="77"/>
      <c r="AA874" s="77"/>
      <c r="AB874" s="77"/>
      <c r="AC874" s="77"/>
      <c r="AD874" s="77"/>
      <c r="AE874" s="77"/>
      <c r="AF874" s="77"/>
      <c r="AG874" s="77"/>
      <c r="AH874" s="78"/>
      <c r="AI874" s="78"/>
      <c r="AJ874" s="78"/>
      <c r="AK874" s="78"/>
      <c r="AL874" s="78"/>
      <c r="AM874" s="78"/>
      <c r="AN874" s="76"/>
      <c r="AO874" s="76"/>
      <c r="AP874" s="76"/>
      <c r="AQ874" s="76"/>
      <c r="AR874" s="76"/>
      <c r="AS874" s="76"/>
      <c r="AT874" s="76"/>
      <c r="AU874" s="76"/>
      <c r="AV874" s="76"/>
      <c r="AW874" s="79"/>
      <c r="AX874" s="79"/>
      <c r="AY874" s="79"/>
      <c r="AZ874" s="79"/>
      <c r="BA874" s="79"/>
      <c r="BB874" s="11"/>
      <c r="BC874" s="11"/>
      <c r="BD874" s="11"/>
      <c r="BE874" s="73"/>
      <c r="BF874" s="73"/>
      <c r="BG874" s="73"/>
      <c r="BH874" s="77"/>
      <c r="BI874" s="77"/>
      <c r="BJ874" s="77"/>
      <c r="BK874" s="77"/>
      <c r="BL874" s="77"/>
      <c r="BM874" s="77"/>
      <c r="BN874" s="158"/>
      <c r="BO874" s="158"/>
    </row>
    <row r="875" spans="1:67" ht="15" x14ac:dyDescent="0.25">
      <c r="A875" s="71"/>
      <c r="B875" s="11"/>
      <c r="C875" s="11"/>
      <c r="D875" s="11"/>
      <c r="E875" s="11"/>
      <c r="F875" s="11"/>
      <c r="G875" s="11"/>
      <c r="H875" s="11"/>
      <c r="I875" s="11"/>
      <c r="J875" s="249"/>
      <c r="K875" s="72"/>
      <c r="L875" s="73"/>
      <c r="M875" s="73"/>
      <c r="N875" s="74"/>
      <c r="O875" s="75"/>
      <c r="P875" s="73"/>
      <c r="Q875" s="76"/>
      <c r="R875" s="76"/>
      <c r="S875" s="76"/>
      <c r="T875" s="76"/>
      <c r="U875" s="76"/>
      <c r="V875" s="76"/>
      <c r="W875" s="76"/>
      <c r="X875" s="76"/>
      <c r="Y875" s="76"/>
      <c r="Z875" s="77"/>
      <c r="AA875" s="77"/>
      <c r="AB875" s="77"/>
      <c r="AC875" s="77"/>
      <c r="AD875" s="77"/>
      <c r="AE875" s="77"/>
      <c r="AF875" s="77"/>
      <c r="AG875" s="77"/>
      <c r="AH875" s="78"/>
      <c r="AI875" s="78"/>
      <c r="AJ875" s="78"/>
      <c r="AK875" s="78"/>
      <c r="AL875" s="78"/>
      <c r="AM875" s="78"/>
      <c r="AN875" s="76"/>
      <c r="AO875" s="76"/>
      <c r="AP875" s="76"/>
      <c r="AQ875" s="76"/>
      <c r="AR875" s="76"/>
      <c r="AS875" s="76"/>
      <c r="AT875" s="76"/>
      <c r="AU875" s="76"/>
      <c r="AV875" s="76"/>
      <c r="AW875" s="79"/>
      <c r="AX875" s="79"/>
      <c r="AY875" s="79"/>
      <c r="AZ875" s="79"/>
      <c r="BA875" s="79"/>
      <c r="BB875" s="11"/>
      <c r="BC875" s="11"/>
      <c r="BD875" s="11"/>
      <c r="BE875" s="73"/>
      <c r="BF875" s="73"/>
      <c r="BG875" s="73"/>
      <c r="BH875" s="77"/>
      <c r="BI875" s="77"/>
      <c r="BJ875" s="77"/>
      <c r="BK875" s="77"/>
      <c r="BL875" s="77"/>
      <c r="BM875" s="77"/>
      <c r="BN875" s="158"/>
      <c r="BO875" s="158"/>
    </row>
    <row r="876" spans="1:67" ht="15" x14ac:dyDescent="0.25">
      <c r="A876" s="71"/>
      <c r="B876" s="11"/>
      <c r="C876" s="11"/>
      <c r="D876" s="11"/>
      <c r="E876" s="11"/>
      <c r="F876" s="11"/>
      <c r="G876" s="11"/>
      <c r="H876" s="11"/>
      <c r="I876" s="11"/>
      <c r="J876" s="249"/>
      <c r="K876" s="72"/>
      <c r="L876" s="73"/>
      <c r="M876" s="73"/>
      <c r="N876" s="74"/>
      <c r="O876" s="75"/>
      <c r="P876" s="73"/>
      <c r="Q876" s="76"/>
      <c r="R876" s="76"/>
      <c r="S876" s="76"/>
      <c r="T876" s="76"/>
      <c r="U876" s="76"/>
      <c r="V876" s="76"/>
      <c r="W876" s="76"/>
      <c r="X876" s="76"/>
      <c r="Y876" s="76"/>
      <c r="Z876" s="77"/>
      <c r="AA876" s="77"/>
      <c r="AB876" s="77"/>
      <c r="AC876" s="77"/>
      <c r="AD876" s="77"/>
      <c r="AE876" s="77"/>
      <c r="AF876" s="77"/>
      <c r="AG876" s="77"/>
      <c r="AH876" s="78"/>
      <c r="AI876" s="78"/>
      <c r="AJ876" s="78"/>
      <c r="AK876" s="78"/>
      <c r="AL876" s="78"/>
      <c r="AM876" s="78"/>
      <c r="AN876" s="76"/>
      <c r="AO876" s="76"/>
      <c r="AP876" s="76"/>
      <c r="AQ876" s="76"/>
      <c r="AR876" s="76"/>
      <c r="AS876" s="76"/>
      <c r="AT876" s="76"/>
      <c r="AU876" s="76"/>
      <c r="AV876" s="76"/>
      <c r="AW876" s="79"/>
      <c r="AX876" s="79"/>
      <c r="AY876" s="79"/>
      <c r="AZ876" s="79"/>
      <c r="BA876" s="79"/>
      <c r="BB876" s="11"/>
      <c r="BC876" s="11"/>
      <c r="BD876" s="11"/>
      <c r="BE876" s="73"/>
      <c r="BF876" s="73"/>
      <c r="BG876" s="73"/>
      <c r="BH876" s="77"/>
      <c r="BI876" s="77"/>
      <c r="BJ876" s="77"/>
      <c r="BK876" s="77"/>
      <c r="BL876" s="77"/>
      <c r="BM876" s="77"/>
      <c r="BN876" s="158"/>
      <c r="BO876" s="158"/>
    </row>
    <row r="877" spans="1:67" ht="15" x14ac:dyDescent="0.25">
      <c r="A877" s="71"/>
      <c r="B877" s="11"/>
      <c r="C877" s="11"/>
      <c r="D877" s="11"/>
      <c r="E877" s="11"/>
      <c r="F877" s="11"/>
      <c r="G877" s="11"/>
      <c r="H877" s="11"/>
      <c r="I877" s="11"/>
      <c r="J877" s="249"/>
      <c r="K877" s="72"/>
      <c r="L877" s="73"/>
      <c r="M877" s="73"/>
      <c r="N877" s="74"/>
      <c r="O877" s="75"/>
      <c r="P877" s="73"/>
      <c r="Q877" s="76"/>
      <c r="R877" s="76"/>
      <c r="S877" s="76"/>
      <c r="T877" s="76"/>
      <c r="U877" s="76"/>
      <c r="V877" s="76"/>
      <c r="W877" s="76"/>
      <c r="X877" s="76"/>
      <c r="Y877" s="76"/>
      <c r="Z877" s="77"/>
      <c r="AA877" s="77"/>
      <c r="AB877" s="77"/>
      <c r="AC877" s="77"/>
      <c r="AD877" s="77"/>
      <c r="AE877" s="77"/>
      <c r="AF877" s="77"/>
      <c r="AG877" s="77"/>
      <c r="AH877" s="78"/>
      <c r="AI877" s="78"/>
      <c r="AJ877" s="78"/>
      <c r="AK877" s="78"/>
      <c r="AL877" s="78"/>
      <c r="AM877" s="78"/>
      <c r="AN877" s="76"/>
      <c r="AO877" s="76"/>
      <c r="AP877" s="76"/>
      <c r="AQ877" s="76"/>
      <c r="AR877" s="76"/>
      <c r="AS877" s="76"/>
      <c r="AT877" s="76"/>
      <c r="AU877" s="76"/>
      <c r="AV877" s="76"/>
      <c r="AW877" s="79"/>
      <c r="AX877" s="79"/>
      <c r="AY877" s="79"/>
      <c r="AZ877" s="79"/>
      <c r="BA877" s="79"/>
      <c r="BB877" s="11"/>
      <c r="BC877" s="11"/>
      <c r="BD877" s="11"/>
      <c r="BE877" s="73"/>
      <c r="BF877" s="73"/>
      <c r="BG877" s="73"/>
      <c r="BH877" s="77"/>
      <c r="BI877" s="77"/>
      <c r="BJ877" s="77"/>
      <c r="BK877" s="77"/>
      <c r="BL877" s="77"/>
      <c r="BM877" s="77"/>
      <c r="BN877" s="158"/>
      <c r="BO877" s="158"/>
    </row>
    <row r="878" spans="1:67" ht="15" x14ac:dyDescent="0.25">
      <c r="A878" s="71"/>
      <c r="B878" s="11"/>
      <c r="C878" s="11"/>
      <c r="D878" s="11"/>
      <c r="E878" s="11"/>
      <c r="F878" s="11"/>
      <c r="G878" s="11"/>
      <c r="H878" s="11"/>
      <c r="I878" s="11"/>
      <c r="J878" s="249"/>
      <c r="K878" s="72"/>
      <c r="L878" s="73"/>
      <c r="M878" s="73"/>
      <c r="N878" s="74"/>
      <c r="O878" s="75"/>
      <c r="P878" s="73"/>
      <c r="Q878" s="76"/>
      <c r="R878" s="76"/>
      <c r="S878" s="76"/>
      <c r="T878" s="76"/>
      <c r="U878" s="76"/>
      <c r="V878" s="76"/>
      <c r="W878" s="76"/>
      <c r="X878" s="76"/>
      <c r="Y878" s="76"/>
      <c r="Z878" s="77"/>
      <c r="AA878" s="77"/>
      <c r="AB878" s="77"/>
      <c r="AC878" s="77"/>
      <c r="AD878" s="77"/>
      <c r="AE878" s="77"/>
      <c r="AF878" s="77"/>
      <c r="AG878" s="77"/>
      <c r="AH878" s="78"/>
      <c r="AI878" s="78"/>
      <c r="AJ878" s="78"/>
      <c r="AK878" s="78"/>
      <c r="AL878" s="78"/>
      <c r="AM878" s="78"/>
      <c r="AN878" s="76"/>
      <c r="AO878" s="76"/>
      <c r="AP878" s="76"/>
      <c r="AQ878" s="76"/>
      <c r="AR878" s="76"/>
      <c r="AS878" s="76"/>
      <c r="AT878" s="76"/>
      <c r="AU878" s="76"/>
      <c r="AV878" s="76"/>
      <c r="AW878" s="79"/>
      <c r="AX878" s="79"/>
      <c r="AY878" s="79"/>
      <c r="AZ878" s="79"/>
      <c r="BA878" s="79"/>
      <c r="BB878" s="11"/>
      <c r="BC878" s="11"/>
      <c r="BD878" s="11"/>
      <c r="BE878" s="73"/>
      <c r="BF878" s="73"/>
      <c r="BG878" s="73"/>
      <c r="BH878" s="77"/>
      <c r="BI878" s="77"/>
      <c r="BJ878" s="77"/>
      <c r="BK878" s="77"/>
      <c r="BL878" s="77"/>
      <c r="BM878" s="77"/>
      <c r="BN878" s="158"/>
      <c r="BO878" s="158"/>
    </row>
    <row r="879" spans="1:67" ht="15" x14ac:dyDescent="0.25">
      <c r="A879" s="71"/>
      <c r="B879" s="11"/>
      <c r="C879" s="11"/>
      <c r="D879" s="11"/>
      <c r="E879" s="11"/>
      <c r="F879" s="11"/>
      <c r="G879" s="11"/>
      <c r="H879" s="11"/>
      <c r="I879" s="11"/>
      <c r="J879" s="249"/>
      <c r="K879" s="72"/>
      <c r="L879" s="73"/>
      <c r="M879" s="73"/>
      <c r="N879" s="74"/>
      <c r="O879" s="75"/>
      <c r="P879" s="73"/>
      <c r="Q879" s="76"/>
      <c r="R879" s="76"/>
      <c r="S879" s="76"/>
      <c r="T879" s="76"/>
      <c r="U879" s="76"/>
      <c r="V879" s="76"/>
      <c r="W879" s="76"/>
      <c r="X879" s="76"/>
      <c r="Y879" s="76"/>
      <c r="Z879" s="77"/>
      <c r="AA879" s="77"/>
      <c r="AB879" s="77"/>
      <c r="AC879" s="77"/>
      <c r="AD879" s="77"/>
      <c r="AE879" s="77"/>
      <c r="AF879" s="77"/>
      <c r="AG879" s="77"/>
      <c r="AH879" s="78"/>
      <c r="AI879" s="78"/>
      <c r="AJ879" s="78"/>
      <c r="AK879" s="78"/>
      <c r="AL879" s="78"/>
      <c r="AM879" s="78"/>
      <c r="AN879" s="76"/>
      <c r="AO879" s="76"/>
      <c r="AP879" s="76"/>
      <c r="AQ879" s="76"/>
      <c r="AR879" s="76"/>
      <c r="AS879" s="76"/>
      <c r="AT879" s="76"/>
      <c r="AU879" s="76"/>
      <c r="AV879" s="76"/>
      <c r="AW879" s="79"/>
      <c r="AX879" s="79"/>
      <c r="AY879" s="79"/>
      <c r="AZ879" s="79"/>
      <c r="BA879" s="79"/>
      <c r="BB879" s="11"/>
      <c r="BC879" s="11"/>
      <c r="BD879" s="11"/>
      <c r="BE879" s="73"/>
      <c r="BF879" s="73"/>
      <c r="BG879" s="73"/>
      <c r="BH879" s="77"/>
      <c r="BI879" s="77"/>
      <c r="BJ879" s="77"/>
      <c r="BK879" s="77"/>
      <c r="BL879" s="77"/>
      <c r="BM879" s="77"/>
      <c r="BN879" s="158"/>
      <c r="BO879" s="158"/>
    </row>
    <row r="880" spans="1:67" ht="15" x14ac:dyDescent="0.25">
      <c r="A880" s="71"/>
      <c r="B880" s="11"/>
      <c r="C880" s="11"/>
      <c r="D880" s="11"/>
      <c r="E880" s="11"/>
      <c r="F880" s="11"/>
      <c r="G880" s="11"/>
      <c r="H880" s="11"/>
      <c r="I880" s="11"/>
      <c r="J880" s="249"/>
      <c r="K880" s="72"/>
      <c r="L880" s="73"/>
      <c r="M880" s="73"/>
      <c r="N880" s="74"/>
      <c r="O880" s="75"/>
      <c r="P880" s="73"/>
      <c r="Q880" s="76"/>
      <c r="R880" s="76"/>
      <c r="S880" s="76"/>
      <c r="T880" s="76"/>
      <c r="U880" s="76"/>
      <c r="V880" s="76"/>
      <c r="W880" s="76"/>
      <c r="X880" s="76"/>
      <c r="Y880" s="76"/>
      <c r="Z880" s="77"/>
      <c r="AA880" s="77"/>
      <c r="AB880" s="77"/>
      <c r="AC880" s="77"/>
      <c r="AD880" s="77"/>
      <c r="AE880" s="77"/>
      <c r="AF880" s="77"/>
      <c r="AG880" s="77"/>
      <c r="AH880" s="78"/>
      <c r="AI880" s="78"/>
      <c r="AJ880" s="78"/>
      <c r="AK880" s="78"/>
      <c r="AL880" s="78"/>
      <c r="AM880" s="78"/>
      <c r="AN880" s="76"/>
      <c r="AO880" s="76"/>
      <c r="AP880" s="76"/>
      <c r="AQ880" s="76"/>
      <c r="AR880" s="76"/>
      <c r="AS880" s="76"/>
      <c r="AT880" s="76"/>
      <c r="AU880" s="76"/>
      <c r="AV880" s="76"/>
      <c r="AW880" s="79"/>
      <c r="AX880" s="79"/>
      <c r="AY880" s="79"/>
      <c r="AZ880" s="79"/>
      <c r="BA880" s="79"/>
      <c r="BB880" s="11"/>
      <c r="BC880" s="11"/>
      <c r="BD880" s="11"/>
      <c r="BE880" s="73"/>
      <c r="BF880" s="73"/>
      <c r="BG880" s="73"/>
      <c r="BH880" s="77"/>
      <c r="BI880" s="77"/>
      <c r="BJ880" s="77"/>
      <c r="BK880" s="77"/>
      <c r="BL880" s="77"/>
      <c r="BM880" s="77"/>
      <c r="BN880" s="158"/>
      <c r="BO880" s="158"/>
    </row>
    <row r="881" spans="1:67" ht="15" x14ac:dyDescent="0.25">
      <c r="A881" s="71"/>
      <c r="B881" s="11"/>
      <c r="C881" s="11"/>
      <c r="D881" s="11"/>
      <c r="E881" s="11"/>
      <c r="F881" s="11"/>
      <c r="G881" s="11"/>
      <c r="H881" s="11"/>
      <c r="I881" s="11"/>
      <c r="J881" s="249"/>
      <c r="K881" s="72"/>
      <c r="L881" s="73"/>
      <c r="M881" s="73"/>
      <c r="N881" s="74"/>
      <c r="O881" s="75"/>
      <c r="P881" s="73"/>
      <c r="Q881" s="76"/>
      <c r="R881" s="76"/>
      <c r="S881" s="76"/>
      <c r="T881" s="76"/>
      <c r="U881" s="76"/>
      <c r="V881" s="76"/>
      <c r="W881" s="76"/>
      <c r="X881" s="76"/>
      <c r="Y881" s="76"/>
      <c r="Z881" s="77"/>
      <c r="AA881" s="77"/>
      <c r="AB881" s="77"/>
      <c r="AC881" s="77"/>
      <c r="AD881" s="77"/>
      <c r="AE881" s="77"/>
      <c r="AF881" s="77"/>
      <c r="AG881" s="77"/>
      <c r="AH881" s="78"/>
      <c r="AI881" s="78"/>
      <c r="AJ881" s="78"/>
      <c r="AK881" s="78"/>
      <c r="AL881" s="78"/>
      <c r="AM881" s="78"/>
      <c r="AN881" s="76"/>
      <c r="AO881" s="76"/>
      <c r="AP881" s="76"/>
      <c r="AQ881" s="76"/>
      <c r="AR881" s="76"/>
      <c r="AS881" s="76"/>
      <c r="AT881" s="76"/>
      <c r="AU881" s="76"/>
      <c r="AV881" s="76"/>
      <c r="AW881" s="79"/>
      <c r="AX881" s="79"/>
      <c r="AY881" s="79"/>
      <c r="AZ881" s="79"/>
      <c r="BA881" s="79"/>
      <c r="BB881" s="11"/>
      <c r="BC881" s="11"/>
      <c r="BD881" s="11"/>
      <c r="BE881" s="73"/>
      <c r="BF881" s="73"/>
      <c r="BG881" s="73"/>
      <c r="BH881" s="77"/>
      <c r="BI881" s="77"/>
      <c r="BJ881" s="77"/>
      <c r="BK881" s="77"/>
      <c r="BL881" s="77"/>
      <c r="BM881" s="77"/>
      <c r="BN881" s="158"/>
      <c r="BO881" s="158"/>
    </row>
    <row r="882" spans="1:67" ht="15" x14ac:dyDescent="0.25">
      <c r="A882" s="71"/>
      <c r="B882" s="11"/>
      <c r="C882" s="11"/>
      <c r="D882" s="11"/>
      <c r="E882" s="11"/>
      <c r="F882" s="11"/>
      <c r="G882" s="11"/>
      <c r="H882" s="11"/>
      <c r="I882" s="11"/>
      <c r="J882" s="249"/>
      <c r="K882" s="72"/>
      <c r="L882" s="73"/>
      <c r="M882" s="73"/>
      <c r="N882" s="74"/>
      <c r="O882" s="75"/>
      <c r="P882" s="73"/>
      <c r="Q882" s="76"/>
      <c r="R882" s="76"/>
      <c r="S882" s="76"/>
      <c r="T882" s="76"/>
      <c r="U882" s="76"/>
      <c r="V882" s="76"/>
      <c r="W882" s="76"/>
      <c r="X882" s="76"/>
      <c r="Y882" s="76"/>
      <c r="Z882" s="77"/>
      <c r="AA882" s="77"/>
      <c r="AB882" s="77"/>
      <c r="AC882" s="77"/>
      <c r="AD882" s="77"/>
      <c r="AE882" s="77"/>
      <c r="AF882" s="77"/>
      <c r="AG882" s="77"/>
      <c r="AH882" s="78"/>
      <c r="AI882" s="78"/>
      <c r="AJ882" s="78"/>
      <c r="AK882" s="78"/>
      <c r="AL882" s="78"/>
      <c r="AM882" s="78"/>
      <c r="AN882" s="76"/>
      <c r="AO882" s="76"/>
      <c r="AP882" s="76"/>
      <c r="AQ882" s="76"/>
      <c r="AR882" s="76"/>
      <c r="AS882" s="76"/>
      <c r="AT882" s="76"/>
      <c r="AU882" s="76"/>
      <c r="AV882" s="76"/>
      <c r="AW882" s="79"/>
      <c r="AX882" s="79"/>
      <c r="AY882" s="79"/>
      <c r="AZ882" s="79"/>
      <c r="BA882" s="79"/>
      <c r="BB882" s="11"/>
      <c r="BC882" s="11"/>
      <c r="BD882" s="11"/>
      <c r="BE882" s="73"/>
      <c r="BF882" s="73"/>
      <c r="BG882" s="73"/>
      <c r="BH882" s="77"/>
      <c r="BI882" s="77"/>
      <c r="BJ882" s="77"/>
      <c r="BK882" s="77"/>
      <c r="BL882" s="77"/>
      <c r="BM882" s="77"/>
      <c r="BN882" s="158"/>
      <c r="BO882" s="158"/>
    </row>
    <row r="883" spans="1:67" ht="15" x14ac:dyDescent="0.25">
      <c r="A883" s="71"/>
      <c r="B883" s="11"/>
      <c r="C883" s="11"/>
      <c r="D883" s="11"/>
      <c r="E883" s="11"/>
      <c r="F883" s="11"/>
      <c r="G883" s="11"/>
      <c r="H883" s="11"/>
      <c r="I883" s="11"/>
      <c r="J883" s="249"/>
      <c r="K883" s="72"/>
      <c r="L883" s="73"/>
      <c r="M883" s="73"/>
      <c r="N883" s="74"/>
      <c r="O883" s="75"/>
      <c r="P883" s="73"/>
      <c r="Q883" s="76"/>
      <c r="R883" s="76"/>
      <c r="S883" s="76"/>
      <c r="T883" s="76"/>
      <c r="U883" s="76"/>
      <c r="V883" s="76"/>
      <c r="W883" s="76"/>
      <c r="X883" s="76"/>
      <c r="Y883" s="76"/>
      <c r="Z883" s="77"/>
      <c r="AA883" s="77"/>
      <c r="AB883" s="77"/>
      <c r="AC883" s="77"/>
      <c r="AD883" s="77"/>
      <c r="AE883" s="77"/>
      <c r="AF883" s="77"/>
      <c r="AG883" s="77"/>
      <c r="AH883" s="78"/>
      <c r="AI883" s="78"/>
      <c r="AJ883" s="78"/>
      <c r="AK883" s="78"/>
      <c r="AL883" s="78"/>
      <c r="AM883" s="78"/>
      <c r="AN883" s="76"/>
      <c r="AO883" s="76"/>
      <c r="AP883" s="76"/>
      <c r="AQ883" s="76"/>
      <c r="AR883" s="76"/>
      <c r="AS883" s="76"/>
      <c r="AT883" s="76"/>
      <c r="AU883" s="76"/>
      <c r="AV883" s="76"/>
      <c r="AW883" s="79"/>
      <c r="AX883" s="79"/>
      <c r="AY883" s="79"/>
      <c r="AZ883" s="79"/>
      <c r="BA883" s="79"/>
      <c r="BB883" s="11"/>
      <c r="BC883" s="11"/>
      <c r="BD883" s="11"/>
      <c r="BE883" s="73"/>
      <c r="BF883" s="73"/>
      <c r="BG883" s="73"/>
      <c r="BH883" s="77"/>
      <c r="BI883" s="77"/>
      <c r="BJ883" s="77"/>
      <c r="BK883" s="77"/>
      <c r="BL883" s="77"/>
      <c r="BM883" s="77"/>
      <c r="BN883" s="158"/>
      <c r="BO883" s="158"/>
    </row>
    <row r="884" spans="1:67" ht="15" x14ac:dyDescent="0.25">
      <c r="A884" s="71"/>
      <c r="B884" s="11"/>
      <c r="C884" s="11"/>
      <c r="D884" s="11"/>
      <c r="E884" s="11"/>
      <c r="F884" s="11"/>
      <c r="G884" s="11"/>
      <c r="H884" s="11"/>
      <c r="I884" s="11"/>
      <c r="J884" s="249"/>
      <c r="K884" s="72"/>
      <c r="L884" s="73"/>
      <c r="M884" s="73"/>
      <c r="N884" s="74"/>
      <c r="O884" s="75"/>
      <c r="P884" s="73"/>
      <c r="Q884" s="76"/>
      <c r="R884" s="76"/>
      <c r="S884" s="76"/>
      <c r="T884" s="76"/>
      <c r="U884" s="76"/>
      <c r="V884" s="76"/>
      <c r="W884" s="76"/>
      <c r="X884" s="76"/>
      <c r="Y884" s="76"/>
      <c r="Z884" s="77"/>
      <c r="AA884" s="77"/>
      <c r="AB884" s="77"/>
      <c r="AC884" s="77"/>
      <c r="AD884" s="77"/>
      <c r="AE884" s="77"/>
      <c r="AF884" s="77"/>
      <c r="AG884" s="77"/>
      <c r="AH884" s="78"/>
      <c r="AI884" s="78"/>
      <c r="AJ884" s="78"/>
      <c r="AK884" s="78"/>
      <c r="AL884" s="78"/>
      <c r="AM884" s="78"/>
      <c r="AN884" s="76"/>
      <c r="AO884" s="76"/>
      <c r="AP884" s="76"/>
      <c r="AQ884" s="76"/>
      <c r="AR884" s="76"/>
      <c r="AS884" s="76"/>
      <c r="AT884" s="76"/>
      <c r="AU884" s="76"/>
      <c r="AV884" s="76"/>
      <c r="AW884" s="79"/>
      <c r="AX884" s="79"/>
      <c r="AY884" s="79"/>
      <c r="AZ884" s="79"/>
      <c r="BA884" s="79"/>
      <c r="BB884" s="11"/>
      <c r="BC884" s="11"/>
      <c r="BD884" s="11"/>
      <c r="BE884" s="73"/>
      <c r="BF884" s="73"/>
      <c r="BG884" s="73"/>
      <c r="BH884" s="77"/>
      <c r="BI884" s="77"/>
      <c r="BJ884" s="77"/>
      <c r="BK884" s="77"/>
      <c r="BL884" s="77"/>
      <c r="BM884" s="77"/>
      <c r="BN884" s="158"/>
      <c r="BO884" s="158"/>
    </row>
    <row r="885" spans="1:67" ht="15" x14ac:dyDescent="0.25">
      <c r="A885" s="71"/>
      <c r="B885" s="11"/>
      <c r="C885" s="11"/>
      <c r="D885" s="11"/>
      <c r="E885" s="11"/>
      <c r="F885" s="11"/>
      <c r="G885" s="11"/>
      <c r="H885" s="11"/>
      <c r="I885" s="11"/>
      <c r="J885" s="249"/>
      <c r="K885" s="72"/>
      <c r="L885" s="73"/>
      <c r="M885" s="73"/>
      <c r="N885" s="74"/>
      <c r="O885" s="75"/>
      <c r="P885" s="73"/>
      <c r="Q885" s="76"/>
      <c r="R885" s="76"/>
      <c r="S885" s="76"/>
      <c r="T885" s="76"/>
      <c r="U885" s="76"/>
      <c r="V885" s="76"/>
      <c r="W885" s="76"/>
      <c r="X885" s="76"/>
      <c r="Y885" s="76"/>
      <c r="Z885" s="77"/>
      <c r="AA885" s="77"/>
      <c r="AB885" s="77"/>
      <c r="AC885" s="77"/>
      <c r="AD885" s="77"/>
      <c r="AE885" s="77"/>
      <c r="AF885" s="77"/>
      <c r="AG885" s="77"/>
      <c r="AH885" s="78"/>
      <c r="AI885" s="78"/>
      <c r="AJ885" s="78"/>
      <c r="AK885" s="78"/>
      <c r="AL885" s="78"/>
      <c r="AM885" s="78"/>
      <c r="AN885" s="76"/>
      <c r="AO885" s="76"/>
      <c r="AP885" s="76"/>
      <c r="AQ885" s="76"/>
      <c r="AR885" s="76"/>
      <c r="AS885" s="76"/>
      <c r="AT885" s="76"/>
      <c r="AU885" s="76"/>
      <c r="AV885" s="76"/>
      <c r="AW885" s="79"/>
      <c r="AX885" s="79"/>
      <c r="AY885" s="79"/>
      <c r="AZ885" s="79"/>
      <c r="BA885" s="79"/>
      <c r="BB885" s="11"/>
      <c r="BC885" s="11"/>
      <c r="BD885" s="11"/>
      <c r="BE885" s="73"/>
      <c r="BF885" s="73"/>
      <c r="BG885" s="73"/>
      <c r="BH885" s="77"/>
      <c r="BI885" s="77"/>
      <c r="BJ885" s="77"/>
      <c r="BK885" s="77"/>
      <c r="BL885" s="77"/>
      <c r="BM885" s="77"/>
      <c r="BN885" s="158"/>
      <c r="BO885" s="158"/>
    </row>
    <row r="886" spans="1:67" ht="15" x14ac:dyDescent="0.25">
      <c r="A886" s="71"/>
      <c r="B886" s="11"/>
      <c r="C886" s="11"/>
      <c r="D886" s="11"/>
      <c r="E886" s="11"/>
      <c r="F886" s="11"/>
      <c r="G886" s="11"/>
      <c r="H886" s="11"/>
      <c r="I886" s="11"/>
      <c r="J886" s="249"/>
      <c r="K886" s="72"/>
      <c r="L886" s="73"/>
      <c r="M886" s="73"/>
      <c r="N886" s="74"/>
      <c r="O886" s="75"/>
      <c r="P886" s="73"/>
      <c r="Q886" s="76"/>
      <c r="R886" s="76"/>
      <c r="S886" s="76"/>
      <c r="T886" s="76"/>
      <c r="U886" s="76"/>
      <c r="V886" s="76"/>
      <c r="W886" s="76"/>
      <c r="X886" s="76"/>
      <c r="Y886" s="76"/>
      <c r="Z886" s="77"/>
      <c r="AA886" s="77"/>
      <c r="AB886" s="77"/>
      <c r="AC886" s="77"/>
      <c r="AD886" s="77"/>
      <c r="AE886" s="77"/>
      <c r="AF886" s="77"/>
      <c r="AG886" s="77"/>
      <c r="AH886" s="78"/>
      <c r="AI886" s="78"/>
      <c r="AJ886" s="78"/>
      <c r="AK886" s="78"/>
      <c r="AL886" s="78"/>
      <c r="AM886" s="78"/>
      <c r="AN886" s="76"/>
      <c r="AO886" s="76"/>
      <c r="AP886" s="76"/>
      <c r="AQ886" s="76"/>
      <c r="AR886" s="76"/>
      <c r="AS886" s="76"/>
      <c r="AT886" s="76"/>
      <c r="AU886" s="76"/>
      <c r="AV886" s="76"/>
      <c r="AW886" s="79"/>
      <c r="AX886" s="79"/>
      <c r="AY886" s="79"/>
      <c r="AZ886" s="79"/>
      <c r="BA886" s="79"/>
      <c r="BB886" s="11"/>
      <c r="BC886" s="11"/>
      <c r="BD886" s="11"/>
      <c r="BE886" s="73"/>
      <c r="BF886" s="73"/>
      <c r="BG886" s="73"/>
      <c r="BH886" s="77"/>
      <c r="BI886" s="77"/>
      <c r="BJ886" s="77"/>
      <c r="BK886" s="77"/>
      <c r="BL886" s="77"/>
      <c r="BM886" s="77"/>
      <c r="BN886" s="158"/>
      <c r="BO886" s="158"/>
    </row>
    <row r="887" spans="1:67" ht="15" x14ac:dyDescent="0.25">
      <c r="A887" s="71"/>
      <c r="B887" s="11"/>
      <c r="C887" s="11"/>
      <c r="D887" s="11"/>
      <c r="E887" s="11"/>
      <c r="F887" s="11"/>
      <c r="G887" s="11"/>
      <c r="H887" s="11"/>
      <c r="I887" s="11"/>
      <c r="J887" s="249"/>
      <c r="K887" s="72"/>
      <c r="L887" s="73"/>
      <c r="M887" s="73"/>
      <c r="N887" s="74"/>
      <c r="O887" s="75"/>
      <c r="P887" s="73"/>
      <c r="Q887" s="76"/>
      <c r="R887" s="76"/>
      <c r="S887" s="76"/>
      <c r="T887" s="76"/>
      <c r="U887" s="76"/>
      <c r="V887" s="76"/>
      <c r="W887" s="76"/>
      <c r="X887" s="76"/>
      <c r="Y887" s="76"/>
      <c r="Z887" s="77"/>
      <c r="AA887" s="77"/>
      <c r="AB887" s="77"/>
      <c r="AC887" s="77"/>
      <c r="AD887" s="77"/>
      <c r="AE887" s="77"/>
      <c r="AF887" s="77"/>
      <c r="AG887" s="77"/>
      <c r="AH887" s="78"/>
      <c r="AI887" s="78"/>
      <c r="AJ887" s="78"/>
      <c r="AK887" s="78"/>
      <c r="AL887" s="78"/>
      <c r="AM887" s="78"/>
      <c r="AN887" s="76"/>
      <c r="AO887" s="76"/>
      <c r="AP887" s="76"/>
      <c r="AQ887" s="76"/>
      <c r="AR887" s="76"/>
      <c r="AS887" s="76"/>
      <c r="AT887" s="76"/>
      <c r="AU887" s="76"/>
      <c r="AV887" s="76"/>
      <c r="AW887" s="79"/>
      <c r="AX887" s="79"/>
      <c r="AY887" s="79"/>
      <c r="AZ887" s="79"/>
      <c r="BA887" s="79"/>
      <c r="BB887" s="11"/>
      <c r="BC887" s="11"/>
      <c r="BD887" s="11"/>
      <c r="BE887" s="73"/>
      <c r="BF887" s="73"/>
      <c r="BG887" s="73"/>
      <c r="BH887" s="77"/>
      <c r="BI887" s="77"/>
      <c r="BJ887" s="77"/>
      <c r="BK887" s="77"/>
      <c r="BL887" s="77"/>
      <c r="BM887" s="77"/>
      <c r="BN887" s="158"/>
      <c r="BO887" s="158"/>
    </row>
    <row r="888" spans="1:67" ht="15" x14ac:dyDescent="0.25">
      <c r="A888" s="71"/>
      <c r="B888" s="11"/>
      <c r="C888" s="11"/>
      <c r="D888" s="11"/>
      <c r="E888" s="11"/>
      <c r="F888" s="11"/>
      <c r="G888" s="11"/>
      <c r="H888" s="11"/>
      <c r="I888" s="11"/>
      <c r="J888" s="249"/>
      <c r="K888" s="72"/>
      <c r="L888" s="73"/>
      <c r="M888" s="73"/>
      <c r="N888" s="74"/>
      <c r="O888" s="75"/>
      <c r="P888" s="73"/>
      <c r="Q888" s="76"/>
      <c r="R888" s="76"/>
      <c r="S888" s="76"/>
      <c r="T888" s="76"/>
      <c r="U888" s="76"/>
      <c r="V888" s="76"/>
      <c r="W888" s="76"/>
      <c r="X888" s="76"/>
      <c r="Y888" s="76"/>
      <c r="Z888" s="77"/>
      <c r="AA888" s="77"/>
      <c r="AB888" s="77"/>
      <c r="AC888" s="77"/>
      <c r="AD888" s="77"/>
      <c r="AE888" s="77"/>
      <c r="AF888" s="77"/>
      <c r="AG888" s="77"/>
      <c r="AH888" s="78"/>
      <c r="AI888" s="78"/>
      <c r="AJ888" s="78"/>
      <c r="AK888" s="78"/>
      <c r="AL888" s="78"/>
      <c r="AM888" s="78"/>
      <c r="AN888" s="76"/>
      <c r="AO888" s="76"/>
      <c r="AP888" s="76"/>
      <c r="AQ888" s="76"/>
      <c r="AR888" s="76"/>
      <c r="AS888" s="76"/>
      <c r="AT888" s="76"/>
      <c r="AU888" s="76"/>
      <c r="AV888" s="76"/>
      <c r="AW888" s="79"/>
      <c r="AX888" s="79"/>
      <c r="AY888" s="79"/>
      <c r="AZ888" s="79"/>
      <c r="BA888" s="79"/>
      <c r="BB888" s="11"/>
      <c r="BC888" s="11"/>
      <c r="BD888" s="11"/>
      <c r="BE888" s="73"/>
      <c r="BF888" s="73"/>
      <c r="BG888" s="73"/>
      <c r="BH888" s="77"/>
      <c r="BI888" s="77"/>
      <c r="BJ888" s="77"/>
      <c r="BK888" s="77"/>
      <c r="BL888" s="77"/>
      <c r="BM888" s="77"/>
      <c r="BN888" s="158"/>
      <c r="BO888" s="158"/>
    </row>
    <row r="889" spans="1:67" ht="15" x14ac:dyDescent="0.25">
      <c r="A889" s="71"/>
      <c r="B889" s="11"/>
      <c r="C889" s="11"/>
      <c r="D889" s="11"/>
      <c r="E889" s="11"/>
      <c r="F889" s="11"/>
      <c r="G889" s="11"/>
      <c r="H889" s="11"/>
      <c r="I889" s="11"/>
      <c r="J889" s="249"/>
      <c r="K889" s="72"/>
      <c r="L889" s="73"/>
      <c r="M889" s="73"/>
      <c r="N889" s="74"/>
      <c r="O889" s="75"/>
      <c r="P889" s="73"/>
      <c r="Q889" s="76"/>
      <c r="R889" s="76"/>
      <c r="S889" s="76"/>
      <c r="T889" s="76"/>
      <c r="U889" s="76"/>
      <c r="V889" s="76"/>
      <c r="W889" s="76"/>
      <c r="X889" s="76"/>
      <c r="Y889" s="76"/>
      <c r="Z889" s="77"/>
      <c r="AA889" s="77"/>
      <c r="AB889" s="77"/>
      <c r="AC889" s="77"/>
      <c r="AD889" s="77"/>
      <c r="AE889" s="77"/>
      <c r="AF889" s="77"/>
      <c r="AG889" s="77"/>
      <c r="AH889" s="78"/>
      <c r="AI889" s="78"/>
      <c r="AJ889" s="78"/>
      <c r="AK889" s="78"/>
      <c r="AL889" s="78"/>
      <c r="AM889" s="78"/>
      <c r="AN889" s="76"/>
      <c r="AO889" s="76"/>
      <c r="AP889" s="76"/>
      <c r="AQ889" s="76"/>
      <c r="AR889" s="76"/>
      <c r="AS889" s="76"/>
      <c r="AT889" s="76"/>
      <c r="AU889" s="76"/>
      <c r="AV889" s="76"/>
      <c r="AW889" s="79"/>
      <c r="AX889" s="79"/>
      <c r="AY889" s="79"/>
      <c r="AZ889" s="79"/>
      <c r="BA889" s="79"/>
      <c r="BB889" s="11"/>
      <c r="BC889" s="11"/>
      <c r="BD889" s="11"/>
      <c r="BE889" s="73"/>
      <c r="BF889" s="73"/>
      <c r="BG889" s="73"/>
      <c r="BH889" s="77"/>
      <c r="BI889" s="77"/>
      <c r="BJ889" s="77"/>
      <c r="BK889" s="77"/>
      <c r="BL889" s="77"/>
      <c r="BM889" s="77"/>
      <c r="BN889" s="158"/>
      <c r="BO889" s="158"/>
    </row>
    <row r="890" spans="1:67" ht="15" x14ac:dyDescent="0.25">
      <c r="A890" s="71"/>
      <c r="B890" s="11"/>
      <c r="C890" s="11"/>
      <c r="D890" s="11"/>
      <c r="E890" s="11"/>
      <c r="F890" s="11"/>
      <c r="G890" s="11"/>
      <c r="H890" s="11"/>
      <c r="I890" s="11"/>
      <c r="J890" s="249"/>
      <c r="K890" s="72"/>
      <c r="L890" s="73"/>
      <c r="M890" s="73"/>
      <c r="N890" s="74"/>
      <c r="O890" s="75"/>
      <c r="P890" s="73"/>
      <c r="Q890" s="76"/>
      <c r="R890" s="76"/>
      <c r="S890" s="76"/>
      <c r="T890" s="76"/>
      <c r="U890" s="76"/>
      <c r="V890" s="76"/>
      <c r="W890" s="76"/>
      <c r="X890" s="76"/>
      <c r="Y890" s="76"/>
      <c r="Z890" s="77"/>
      <c r="AA890" s="77"/>
      <c r="AB890" s="77"/>
      <c r="AC890" s="77"/>
      <c r="AD890" s="77"/>
      <c r="AE890" s="77"/>
      <c r="AF890" s="77"/>
      <c r="AG890" s="77"/>
      <c r="AH890" s="78"/>
      <c r="AI890" s="78"/>
      <c r="AJ890" s="78"/>
      <c r="AK890" s="78"/>
      <c r="AL890" s="78"/>
      <c r="AM890" s="78"/>
      <c r="AN890" s="76"/>
      <c r="AO890" s="76"/>
      <c r="AP890" s="76"/>
      <c r="AQ890" s="76"/>
      <c r="AR890" s="76"/>
      <c r="AS890" s="76"/>
      <c r="AT890" s="76"/>
      <c r="AU890" s="76"/>
      <c r="AV890" s="76"/>
      <c r="AW890" s="79"/>
      <c r="AX890" s="79"/>
      <c r="AY890" s="79"/>
      <c r="AZ890" s="79"/>
      <c r="BA890" s="79"/>
      <c r="BB890" s="11"/>
      <c r="BC890" s="11"/>
      <c r="BD890" s="11"/>
      <c r="BE890" s="73"/>
      <c r="BF890" s="73"/>
      <c r="BG890" s="73"/>
      <c r="BH890" s="77"/>
      <c r="BI890" s="77"/>
      <c r="BJ890" s="77"/>
      <c r="BK890" s="77"/>
      <c r="BL890" s="77"/>
      <c r="BM890" s="77"/>
      <c r="BN890" s="158"/>
      <c r="BO890" s="158"/>
    </row>
    <row r="891" spans="1:67" ht="15" x14ac:dyDescent="0.25">
      <c r="A891" s="71"/>
      <c r="B891" s="11"/>
      <c r="C891" s="11"/>
      <c r="D891" s="11"/>
      <c r="E891" s="11"/>
      <c r="F891" s="11"/>
      <c r="G891" s="11"/>
      <c r="H891" s="11"/>
      <c r="I891" s="11"/>
      <c r="J891" s="249"/>
      <c r="K891" s="72"/>
      <c r="L891" s="73"/>
      <c r="M891" s="73"/>
      <c r="N891" s="74"/>
      <c r="O891" s="75"/>
      <c r="P891" s="73"/>
      <c r="Q891" s="76"/>
      <c r="R891" s="76"/>
      <c r="S891" s="76"/>
      <c r="T891" s="76"/>
      <c r="U891" s="76"/>
      <c r="V891" s="76"/>
      <c r="W891" s="76"/>
      <c r="X891" s="76"/>
      <c r="Y891" s="76"/>
      <c r="Z891" s="77"/>
      <c r="AA891" s="77"/>
      <c r="AB891" s="77"/>
      <c r="AC891" s="77"/>
      <c r="AD891" s="77"/>
      <c r="AE891" s="77"/>
      <c r="AF891" s="77"/>
      <c r="AG891" s="77"/>
      <c r="AH891" s="78"/>
      <c r="AI891" s="78"/>
      <c r="AJ891" s="78"/>
      <c r="AK891" s="78"/>
      <c r="AL891" s="78"/>
      <c r="AM891" s="78"/>
      <c r="AN891" s="76"/>
      <c r="AO891" s="76"/>
      <c r="AP891" s="76"/>
      <c r="AQ891" s="76"/>
      <c r="AR891" s="76"/>
      <c r="AS891" s="76"/>
      <c r="AT891" s="76"/>
      <c r="AU891" s="76"/>
      <c r="AV891" s="76"/>
      <c r="AW891" s="79"/>
      <c r="AX891" s="79"/>
      <c r="AY891" s="79"/>
      <c r="AZ891" s="79"/>
      <c r="BA891" s="79"/>
      <c r="BB891" s="11"/>
      <c r="BC891" s="11"/>
      <c r="BD891" s="11"/>
      <c r="BE891" s="73"/>
      <c r="BF891" s="73"/>
      <c r="BG891" s="73"/>
      <c r="BH891" s="77"/>
      <c r="BI891" s="77"/>
      <c r="BJ891" s="77"/>
      <c r="BK891" s="77"/>
      <c r="BL891" s="77"/>
      <c r="BM891" s="77"/>
      <c r="BN891" s="158"/>
      <c r="BO891" s="158"/>
    </row>
    <row r="892" spans="1:67" ht="15" x14ac:dyDescent="0.25">
      <c r="A892" s="71"/>
      <c r="B892" s="11"/>
      <c r="C892" s="11"/>
      <c r="D892" s="11"/>
      <c r="E892" s="11"/>
      <c r="F892" s="11"/>
      <c r="G892" s="11"/>
      <c r="H892" s="11"/>
      <c r="I892" s="11"/>
      <c r="J892" s="249"/>
      <c r="K892" s="72"/>
      <c r="L892" s="73"/>
      <c r="M892" s="73"/>
      <c r="N892" s="74"/>
      <c r="O892" s="75"/>
      <c r="P892" s="73"/>
      <c r="Q892" s="76"/>
      <c r="R892" s="76"/>
      <c r="S892" s="76"/>
      <c r="T892" s="76"/>
      <c r="U892" s="76"/>
      <c r="V892" s="76"/>
      <c r="W892" s="76"/>
      <c r="X892" s="76"/>
      <c r="Y892" s="76"/>
      <c r="Z892" s="77"/>
      <c r="AA892" s="77"/>
      <c r="AB892" s="77"/>
      <c r="AC892" s="77"/>
      <c r="AD892" s="77"/>
      <c r="AE892" s="77"/>
      <c r="AF892" s="77"/>
      <c r="AG892" s="77"/>
      <c r="AH892" s="78"/>
      <c r="AI892" s="78"/>
      <c r="AJ892" s="78"/>
      <c r="AK892" s="78"/>
      <c r="AL892" s="78"/>
      <c r="AM892" s="78"/>
      <c r="AN892" s="76"/>
      <c r="AO892" s="76"/>
      <c r="AP892" s="76"/>
      <c r="AQ892" s="76"/>
      <c r="AR892" s="76"/>
      <c r="AS892" s="76"/>
      <c r="AT892" s="76"/>
      <c r="AU892" s="76"/>
      <c r="AV892" s="76"/>
      <c r="AW892" s="79"/>
      <c r="AX892" s="79"/>
      <c r="AY892" s="79"/>
      <c r="AZ892" s="79"/>
      <c r="BA892" s="79"/>
      <c r="BB892" s="11"/>
      <c r="BC892" s="11"/>
      <c r="BD892" s="11"/>
      <c r="BE892" s="73"/>
      <c r="BF892" s="73"/>
      <c r="BG892" s="73"/>
      <c r="BH892" s="77"/>
      <c r="BI892" s="77"/>
      <c r="BJ892" s="77"/>
      <c r="BK892" s="77"/>
      <c r="BL892" s="77"/>
      <c r="BM892" s="77"/>
      <c r="BN892" s="158"/>
      <c r="BO892" s="158"/>
    </row>
    <row r="893" spans="1:67" ht="15" x14ac:dyDescent="0.25">
      <c r="A893" s="71"/>
      <c r="B893" s="11"/>
      <c r="C893" s="11"/>
      <c r="D893" s="11"/>
      <c r="E893" s="11"/>
      <c r="F893" s="11"/>
      <c r="G893" s="11"/>
      <c r="H893" s="11"/>
      <c r="I893" s="11"/>
      <c r="J893" s="249"/>
      <c r="K893" s="72"/>
      <c r="L893" s="73"/>
      <c r="M893" s="73"/>
      <c r="N893" s="74"/>
      <c r="O893" s="75"/>
      <c r="P893" s="73"/>
      <c r="Q893" s="76"/>
      <c r="R893" s="76"/>
      <c r="S893" s="76"/>
      <c r="T893" s="76"/>
      <c r="U893" s="76"/>
      <c r="V893" s="76"/>
      <c r="W893" s="76"/>
      <c r="X893" s="76"/>
      <c r="Y893" s="76"/>
      <c r="Z893" s="77"/>
      <c r="AA893" s="77"/>
      <c r="AB893" s="77"/>
      <c r="AC893" s="77"/>
      <c r="AD893" s="77"/>
      <c r="AE893" s="77"/>
      <c r="AF893" s="77"/>
      <c r="AG893" s="77"/>
      <c r="AH893" s="78"/>
      <c r="AI893" s="78"/>
      <c r="AJ893" s="78"/>
      <c r="AK893" s="78"/>
      <c r="AL893" s="78"/>
      <c r="AM893" s="78"/>
      <c r="AN893" s="76"/>
      <c r="AO893" s="76"/>
      <c r="AP893" s="76"/>
      <c r="AQ893" s="76"/>
      <c r="AR893" s="76"/>
      <c r="AS893" s="76"/>
      <c r="AT893" s="76"/>
      <c r="AU893" s="76"/>
      <c r="AV893" s="76"/>
      <c r="AW893" s="79"/>
      <c r="AX893" s="79"/>
      <c r="AY893" s="79"/>
      <c r="AZ893" s="79"/>
      <c r="BA893" s="79"/>
      <c r="BB893" s="11"/>
      <c r="BC893" s="11"/>
      <c r="BD893" s="11"/>
      <c r="BE893" s="73"/>
      <c r="BF893" s="73"/>
      <c r="BG893" s="73"/>
      <c r="BH893" s="77"/>
      <c r="BI893" s="77"/>
      <c r="BJ893" s="77"/>
      <c r="BK893" s="77"/>
      <c r="BL893" s="77"/>
      <c r="BM893" s="77"/>
      <c r="BN893" s="158"/>
      <c r="BO893" s="158"/>
    </row>
    <row r="894" spans="1:67" ht="15" x14ac:dyDescent="0.25">
      <c r="A894" s="71"/>
      <c r="B894" s="11"/>
      <c r="C894" s="11"/>
      <c r="D894" s="11"/>
      <c r="E894" s="11"/>
      <c r="F894" s="11"/>
      <c r="G894" s="11"/>
      <c r="H894" s="11"/>
      <c r="I894" s="11"/>
      <c r="J894" s="249"/>
      <c r="K894" s="72"/>
      <c r="L894" s="73"/>
      <c r="M894" s="73"/>
      <c r="N894" s="74"/>
      <c r="O894" s="75"/>
      <c r="P894" s="73"/>
      <c r="Q894" s="76"/>
      <c r="R894" s="76"/>
      <c r="S894" s="76"/>
      <c r="T894" s="76"/>
      <c r="U894" s="76"/>
      <c r="V894" s="76"/>
      <c r="W894" s="76"/>
      <c r="X894" s="76"/>
      <c r="Y894" s="76"/>
      <c r="Z894" s="77"/>
      <c r="AA894" s="77"/>
      <c r="AB894" s="77"/>
      <c r="AC894" s="77"/>
      <c r="AD894" s="77"/>
      <c r="AE894" s="77"/>
      <c r="AF894" s="77"/>
      <c r="AG894" s="77"/>
      <c r="AH894" s="78"/>
      <c r="AI894" s="78"/>
      <c r="AJ894" s="78"/>
      <c r="AK894" s="78"/>
      <c r="AL894" s="78"/>
      <c r="AM894" s="78"/>
      <c r="AN894" s="76"/>
      <c r="AO894" s="76"/>
      <c r="AP894" s="76"/>
      <c r="AQ894" s="76"/>
      <c r="AR894" s="76"/>
      <c r="AS894" s="76"/>
      <c r="AT894" s="76"/>
      <c r="AU894" s="76"/>
      <c r="AV894" s="76"/>
      <c r="AW894" s="79"/>
      <c r="AX894" s="79"/>
      <c r="AY894" s="79"/>
      <c r="AZ894" s="79"/>
      <c r="BA894" s="79"/>
      <c r="BB894" s="11"/>
      <c r="BC894" s="11"/>
      <c r="BD894" s="11"/>
      <c r="BE894" s="73"/>
      <c r="BF894" s="73"/>
      <c r="BG894" s="73"/>
      <c r="BH894" s="77"/>
      <c r="BI894" s="77"/>
      <c r="BJ894" s="77"/>
      <c r="BK894" s="77"/>
      <c r="BL894" s="77"/>
      <c r="BM894" s="77"/>
      <c r="BN894" s="158"/>
      <c r="BO894" s="158"/>
    </row>
    <row r="895" spans="1:67" ht="15" x14ac:dyDescent="0.25">
      <c r="A895" s="71"/>
      <c r="B895" s="11"/>
      <c r="C895" s="11"/>
      <c r="D895" s="11"/>
      <c r="E895" s="11"/>
      <c r="F895" s="11"/>
      <c r="G895" s="11"/>
      <c r="H895" s="11"/>
      <c r="I895" s="11"/>
      <c r="J895" s="249"/>
      <c r="K895" s="72"/>
      <c r="L895" s="73"/>
      <c r="M895" s="73"/>
      <c r="N895" s="74"/>
      <c r="O895" s="75"/>
      <c r="P895" s="73"/>
      <c r="Q895" s="76"/>
      <c r="R895" s="76"/>
      <c r="S895" s="76"/>
      <c r="T895" s="76"/>
      <c r="U895" s="76"/>
      <c r="V895" s="76"/>
      <c r="W895" s="76"/>
      <c r="X895" s="76"/>
      <c r="Y895" s="76"/>
      <c r="Z895" s="77"/>
      <c r="AA895" s="77"/>
      <c r="AB895" s="77"/>
      <c r="AC895" s="77"/>
      <c r="AD895" s="77"/>
      <c r="AE895" s="77"/>
      <c r="AF895" s="77"/>
      <c r="AG895" s="77"/>
      <c r="AH895" s="78"/>
      <c r="AI895" s="78"/>
      <c r="AJ895" s="78"/>
      <c r="AK895" s="78"/>
      <c r="AL895" s="78"/>
      <c r="AM895" s="78"/>
      <c r="AN895" s="76"/>
      <c r="AO895" s="76"/>
      <c r="AP895" s="76"/>
      <c r="AQ895" s="76"/>
      <c r="AR895" s="76"/>
      <c r="AS895" s="76"/>
      <c r="AT895" s="76"/>
      <c r="AU895" s="76"/>
      <c r="AV895" s="76"/>
      <c r="AW895" s="79"/>
      <c r="AX895" s="79"/>
      <c r="AY895" s="79"/>
      <c r="AZ895" s="79"/>
      <c r="BA895" s="79"/>
      <c r="BB895" s="11"/>
      <c r="BC895" s="11"/>
      <c r="BD895" s="11"/>
      <c r="BE895" s="73"/>
      <c r="BF895" s="73"/>
      <c r="BG895" s="73"/>
      <c r="BH895" s="77"/>
      <c r="BI895" s="77"/>
      <c r="BJ895" s="77"/>
      <c r="BK895" s="77"/>
      <c r="BL895" s="77"/>
      <c r="BM895" s="77"/>
      <c r="BN895" s="158"/>
      <c r="BO895" s="158"/>
    </row>
    <row r="896" spans="1:67" ht="15" x14ac:dyDescent="0.25">
      <c r="A896" s="71"/>
      <c r="B896" s="11"/>
      <c r="C896" s="11"/>
      <c r="D896" s="11"/>
      <c r="E896" s="11"/>
      <c r="F896" s="11"/>
      <c r="G896" s="11"/>
      <c r="H896" s="11"/>
      <c r="I896" s="11"/>
      <c r="J896" s="249"/>
      <c r="K896" s="72"/>
      <c r="L896" s="73"/>
      <c r="M896" s="73"/>
      <c r="N896" s="74"/>
      <c r="O896" s="75"/>
      <c r="P896" s="73"/>
      <c r="Q896" s="76"/>
      <c r="R896" s="76"/>
      <c r="S896" s="76"/>
      <c r="T896" s="76"/>
      <c r="U896" s="76"/>
      <c r="V896" s="76"/>
      <c r="W896" s="76"/>
      <c r="X896" s="76"/>
      <c r="Y896" s="76"/>
      <c r="Z896" s="77"/>
      <c r="AA896" s="77"/>
      <c r="AB896" s="77"/>
      <c r="AC896" s="77"/>
      <c r="AD896" s="77"/>
      <c r="AE896" s="77"/>
      <c r="AF896" s="77"/>
      <c r="AG896" s="77"/>
      <c r="AH896" s="78"/>
      <c r="AI896" s="78"/>
      <c r="AJ896" s="78"/>
      <c r="AK896" s="78"/>
      <c r="AL896" s="78"/>
      <c r="AM896" s="78"/>
      <c r="AN896" s="76"/>
      <c r="AO896" s="76"/>
      <c r="AP896" s="76"/>
      <c r="AQ896" s="76"/>
      <c r="AR896" s="76"/>
      <c r="AS896" s="76"/>
      <c r="AT896" s="76"/>
      <c r="AU896" s="76"/>
      <c r="AV896" s="76"/>
      <c r="AW896" s="79"/>
      <c r="AX896" s="79"/>
      <c r="AY896" s="79"/>
      <c r="AZ896" s="79"/>
      <c r="BA896" s="79"/>
      <c r="BB896" s="11"/>
      <c r="BC896" s="11"/>
      <c r="BD896" s="11"/>
      <c r="BE896" s="73"/>
      <c r="BF896" s="73"/>
      <c r="BG896" s="73"/>
      <c r="BH896" s="77"/>
      <c r="BI896" s="77"/>
      <c r="BJ896" s="77"/>
      <c r="BK896" s="77"/>
      <c r="BL896" s="77"/>
      <c r="BM896" s="77"/>
      <c r="BN896" s="158"/>
      <c r="BO896" s="158"/>
    </row>
    <row r="897" spans="1:67" ht="15" x14ac:dyDescent="0.25">
      <c r="A897" s="71"/>
      <c r="B897" s="11"/>
      <c r="C897" s="11"/>
      <c r="D897" s="11"/>
      <c r="E897" s="11"/>
      <c r="F897" s="11"/>
      <c r="G897" s="11"/>
      <c r="H897" s="11"/>
      <c r="I897" s="11"/>
      <c r="J897" s="249"/>
      <c r="K897" s="72"/>
      <c r="L897" s="73"/>
      <c r="M897" s="73"/>
      <c r="N897" s="74"/>
      <c r="O897" s="75"/>
      <c r="P897" s="73"/>
      <c r="Q897" s="76"/>
      <c r="R897" s="76"/>
      <c r="S897" s="76"/>
      <c r="T897" s="76"/>
      <c r="U897" s="76"/>
      <c r="V897" s="76"/>
      <c r="W897" s="76"/>
      <c r="X897" s="76"/>
      <c r="Y897" s="76"/>
      <c r="Z897" s="77"/>
      <c r="AA897" s="77"/>
      <c r="AB897" s="77"/>
      <c r="AC897" s="77"/>
      <c r="AD897" s="77"/>
      <c r="AE897" s="77"/>
      <c r="AF897" s="77"/>
      <c r="AG897" s="77"/>
      <c r="AH897" s="78"/>
      <c r="AI897" s="78"/>
      <c r="AJ897" s="78"/>
      <c r="AK897" s="78"/>
      <c r="AL897" s="78"/>
      <c r="AM897" s="78"/>
      <c r="AN897" s="76"/>
      <c r="AO897" s="76"/>
      <c r="AP897" s="76"/>
      <c r="AQ897" s="76"/>
      <c r="AR897" s="76"/>
      <c r="AS897" s="76"/>
      <c r="AT897" s="76"/>
      <c r="AU897" s="76"/>
      <c r="AV897" s="76"/>
      <c r="AW897" s="79"/>
      <c r="AX897" s="79"/>
      <c r="AY897" s="79"/>
      <c r="AZ897" s="79"/>
      <c r="BA897" s="79"/>
      <c r="BB897" s="11"/>
      <c r="BC897" s="11"/>
      <c r="BD897" s="11"/>
      <c r="BE897" s="73"/>
      <c r="BF897" s="73"/>
      <c r="BG897" s="73"/>
      <c r="BH897" s="77"/>
      <c r="BI897" s="77"/>
      <c r="BJ897" s="77"/>
      <c r="BK897" s="77"/>
      <c r="BL897" s="77"/>
      <c r="BM897" s="77"/>
      <c r="BN897" s="158"/>
      <c r="BO897" s="158"/>
    </row>
    <row r="898" spans="1:67" ht="15" x14ac:dyDescent="0.25">
      <c r="A898" s="71"/>
      <c r="B898" s="11"/>
      <c r="C898" s="11"/>
      <c r="D898" s="11"/>
      <c r="E898" s="11"/>
      <c r="F898" s="11"/>
      <c r="G898" s="11"/>
      <c r="H898" s="11"/>
      <c r="I898" s="11"/>
      <c r="J898" s="249"/>
      <c r="K898" s="72"/>
      <c r="L898" s="73"/>
      <c r="M898" s="73"/>
      <c r="N898" s="74"/>
      <c r="O898" s="75"/>
      <c r="P898" s="73"/>
      <c r="Q898" s="76"/>
      <c r="R898" s="76"/>
      <c r="S898" s="76"/>
      <c r="T898" s="76"/>
      <c r="U898" s="76"/>
      <c r="V898" s="76"/>
      <c r="W898" s="76"/>
      <c r="X898" s="76"/>
      <c r="Y898" s="76"/>
      <c r="Z898" s="77"/>
      <c r="AA898" s="77"/>
      <c r="AB898" s="77"/>
      <c r="AC898" s="77"/>
      <c r="AD898" s="77"/>
      <c r="AE898" s="77"/>
      <c r="AF898" s="77"/>
      <c r="AG898" s="77"/>
      <c r="AH898" s="78"/>
      <c r="AI898" s="78"/>
      <c r="AJ898" s="78"/>
      <c r="AK898" s="78"/>
      <c r="AL898" s="78"/>
      <c r="AM898" s="78"/>
      <c r="AN898" s="76"/>
      <c r="AO898" s="76"/>
      <c r="AP898" s="76"/>
      <c r="AQ898" s="76"/>
      <c r="AR898" s="76"/>
      <c r="AS898" s="76"/>
      <c r="AT898" s="76"/>
      <c r="AU898" s="76"/>
      <c r="AV898" s="76"/>
      <c r="AW898" s="79"/>
      <c r="AX898" s="79"/>
      <c r="AY898" s="79"/>
      <c r="AZ898" s="79"/>
      <c r="BA898" s="79"/>
      <c r="BB898" s="11"/>
      <c r="BC898" s="11"/>
      <c r="BD898" s="11"/>
      <c r="BE898" s="73"/>
      <c r="BF898" s="73"/>
      <c r="BG898" s="73"/>
      <c r="BH898" s="77"/>
      <c r="BI898" s="77"/>
      <c r="BJ898" s="77"/>
      <c r="BK898" s="77"/>
      <c r="BL898" s="77"/>
      <c r="BM898" s="77"/>
      <c r="BN898" s="158"/>
      <c r="BO898" s="158"/>
    </row>
    <row r="899" spans="1:67" ht="15" x14ac:dyDescent="0.25">
      <c r="A899" s="71"/>
      <c r="B899" s="11"/>
      <c r="C899" s="11"/>
      <c r="D899" s="11"/>
      <c r="E899" s="11"/>
      <c r="F899" s="11"/>
      <c r="G899" s="11"/>
      <c r="H899" s="11"/>
      <c r="I899" s="11"/>
      <c r="J899" s="249"/>
      <c r="K899" s="72"/>
      <c r="L899" s="73"/>
      <c r="M899" s="73"/>
      <c r="N899" s="74"/>
      <c r="O899" s="75"/>
      <c r="P899" s="73"/>
      <c r="Q899" s="76"/>
      <c r="R899" s="76"/>
      <c r="S899" s="76"/>
      <c r="T899" s="76"/>
      <c r="U899" s="76"/>
      <c r="V899" s="76"/>
      <c r="W899" s="76"/>
      <c r="X899" s="76"/>
      <c r="Y899" s="76"/>
      <c r="Z899" s="77"/>
      <c r="AA899" s="77"/>
      <c r="AB899" s="77"/>
      <c r="AC899" s="77"/>
      <c r="AD899" s="77"/>
      <c r="AE899" s="77"/>
      <c r="AF899" s="77"/>
      <c r="AG899" s="77"/>
      <c r="AH899" s="78"/>
      <c r="AI899" s="78"/>
      <c r="AJ899" s="78"/>
      <c r="AK899" s="78"/>
      <c r="AL899" s="78"/>
      <c r="AM899" s="78"/>
      <c r="AN899" s="76"/>
      <c r="AO899" s="76"/>
      <c r="AP899" s="76"/>
      <c r="AQ899" s="76"/>
      <c r="AR899" s="76"/>
      <c r="AS899" s="76"/>
      <c r="AT899" s="76"/>
      <c r="AU899" s="76"/>
      <c r="AV899" s="76"/>
      <c r="AW899" s="79"/>
      <c r="AX899" s="79"/>
      <c r="AY899" s="79"/>
      <c r="AZ899" s="79"/>
      <c r="BA899" s="79"/>
      <c r="BB899" s="11"/>
      <c r="BC899" s="11"/>
      <c r="BD899" s="11"/>
      <c r="BE899" s="73"/>
      <c r="BF899" s="73"/>
      <c r="BG899" s="73"/>
      <c r="BH899" s="77"/>
      <c r="BI899" s="77"/>
      <c r="BJ899" s="77"/>
      <c r="BK899" s="77"/>
      <c r="BL899" s="77"/>
      <c r="BM899" s="77"/>
      <c r="BN899" s="158"/>
      <c r="BO899" s="158"/>
    </row>
    <row r="900" spans="1:67" ht="15" x14ac:dyDescent="0.25">
      <c r="A900" s="71"/>
      <c r="B900" s="11"/>
      <c r="C900" s="11"/>
      <c r="D900" s="11"/>
      <c r="E900" s="11"/>
      <c r="F900" s="11"/>
      <c r="G900" s="11"/>
      <c r="H900" s="11"/>
      <c r="I900" s="11"/>
      <c r="J900" s="249"/>
      <c r="K900" s="72"/>
      <c r="L900" s="73"/>
      <c r="M900" s="73"/>
      <c r="N900" s="74"/>
      <c r="O900" s="75"/>
      <c r="P900" s="73"/>
      <c r="Q900" s="76"/>
      <c r="R900" s="76"/>
      <c r="S900" s="76"/>
      <c r="T900" s="76"/>
      <c r="U900" s="76"/>
      <c r="V900" s="76"/>
      <c r="W900" s="76"/>
      <c r="X900" s="76"/>
      <c r="Y900" s="76"/>
      <c r="Z900" s="77"/>
      <c r="AA900" s="77"/>
      <c r="AB900" s="77"/>
      <c r="AC900" s="77"/>
      <c r="AD900" s="77"/>
      <c r="AE900" s="77"/>
      <c r="AF900" s="77"/>
      <c r="AG900" s="77"/>
      <c r="AH900" s="78"/>
      <c r="AI900" s="78"/>
      <c r="AJ900" s="78"/>
      <c r="AK900" s="78"/>
      <c r="AL900" s="78"/>
      <c r="AM900" s="78"/>
      <c r="AN900" s="76"/>
      <c r="AO900" s="76"/>
      <c r="AP900" s="76"/>
      <c r="AQ900" s="76"/>
      <c r="AR900" s="76"/>
      <c r="AS900" s="76"/>
      <c r="AT900" s="76"/>
      <c r="AU900" s="76"/>
      <c r="AV900" s="76"/>
      <c r="AW900" s="79"/>
      <c r="AX900" s="79"/>
      <c r="AY900" s="79"/>
      <c r="AZ900" s="79"/>
      <c r="BA900" s="79"/>
      <c r="BB900" s="11"/>
      <c r="BC900" s="11"/>
      <c r="BD900" s="11"/>
      <c r="BE900" s="73"/>
      <c r="BF900" s="73"/>
      <c r="BG900" s="73"/>
      <c r="BH900" s="77"/>
      <c r="BI900" s="77"/>
      <c r="BJ900" s="77"/>
      <c r="BK900" s="77"/>
      <c r="BL900" s="77"/>
      <c r="BM900" s="77"/>
      <c r="BN900" s="158"/>
      <c r="BO900" s="158"/>
    </row>
    <row r="901" spans="1:67" ht="15" x14ac:dyDescent="0.25">
      <c r="A901" s="71"/>
      <c r="B901" s="11"/>
      <c r="C901" s="11"/>
      <c r="D901" s="11"/>
      <c r="E901" s="11"/>
      <c r="F901" s="11"/>
      <c r="G901" s="11"/>
      <c r="H901" s="11"/>
      <c r="I901" s="11"/>
      <c r="J901" s="249"/>
      <c r="K901" s="72"/>
      <c r="L901" s="73"/>
      <c r="M901" s="73"/>
      <c r="N901" s="74"/>
      <c r="O901" s="75"/>
      <c r="P901" s="73"/>
      <c r="Q901" s="76"/>
      <c r="R901" s="76"/>
      <c r="S901" s="76"/>
      <c r="T901" s="76"/>
      <c r="U901" s="76"/>
      <c r="V901" s="76"/>
      <c r="W901" s="76"/>
      <c r="X901" s="76"/>
      <c r="Y901" s="76"/>
      <c r="Z901" s="77"/>
      <c r="AA901" s="77"/>
      <c r="AB901" s="77"/>
      <c r="AC901" s="77"/>
      <c r="AD901" s="77"/>
      <c r="AE901" s="77"/>
      <c r="AF901" s="77"/>
      <c r="AG901" s="77"/>
      <c r="AH901" s="78"/>
      <c r="AI901" s="78"/>
      <c r="AJ901" s="78"/>
      <c r="AK901" s="78"/>
      <c r="AL901" s="78"/>
      <c r="AM901" s="78"/>
      <c r="AN901" s="76"/>
      <c r="AO901" s="76"/>
      <c r="AP901" s="76"/>
      <c r="AQ901" s="76"/>
      <c r="AR901" s="76"/>
      <c r="AS901" s="76"/>
      <c r="AT901" s="76"/>
      <c r="AU901" s="76"/>
      <c r="AV901" s="76"/>
      <c r="AW901" s="79"/>
      <c r="AX901" s="79"/>
      <c r="AY901" s="79"/>
      <c r="AZ901" s="79"/>
      <c r="BA901" s="79"/>
      <c r="BB901" s="11"/>
      <c r="BC901" s="11"/>
      <c r="BD901" s="11"/>
      <c r="BE901" s="73"/>
      <c r="BF901" s="73"/>
      <c r="BG901" s="73"/>
      <c r="BH901" s="77"/>
      <c r="BI901" s="77"/>
      <c r="BJ901" s="77"/>
      <c r="BK901" s="77"/>
      <c r="BL901" s="77"/>
      <c r="BM901" s="77"/>
      <c r="BN901" s="158"/>
      <c r="BO901" s="158"/>
    </row>
    <row r="902" spans="1:67" ht="15" x14ac:dyDescent="0.25">
      <c r="A902" s="71"/>
      <c r="B902" s="11"/>
      <c r="C902" s="11"/>
      <c r="D902" s="11"/>
      <c r="E902" s="11"/>
      <c r="F902" s="11"/>
      <c r="G902" s="11"/>
      <c r="H902" s="11"/>
      <c r="I902" s="11"/>
      <c r="J902" s="249"/>
      <c r="K902" s="72"/>
      <c r="L902" s="73"/>
      <c r="M902" s="73"/>
      <c r="N902" s="74"/>
      <c r="O902" s="75"/>
      <c r="P902" s="73"/>
      <c r="Q902" s="76"/>
      <c r="R902" s="76"/>
      <c r="S902" s="76"/>
      <c r="T902" s="76"/>
      <c r="U902" s="76"/>
      <c r="V902" s="76"/>
      <c r="W902" s="76"/>
      <c r="X902" s="76"/>
      <c r="Y902" s="76"/>
      <c r="Z902" s="77"/>
      <c r="AA902" s="77"/>
      <c r="AB902" s="77"/>
      <c r="AC902" s="77"/>
      <c r="AD902" s="77"/>
      <c r="AE902" s="77"/>
      <c r="AF902" s="77"/>
      <c r="AG902" s="77"/>
      <c r="AH902" s="78"/>
      <c r="AI902" s="78"/>
      <c r="AJ902" s="78"/>
      <c r="AK902" s="78"/>
      <c r="AL902" s="78"/>
      <c r="AM902" s="78"/>
      <c r="AN902" s="76"/>
      <c r="AO902" s="76"/>
      <c r="AP902" s="76"/>
      <c r="AQ902" s="76"/>
      <c r="AR902" s="76"/>
      <c r="AS902" s="76"/>
      <c r="AT902" s="76"/>
      <c r="AU902" s="76"/>
      <c r="AV902" s="76"/>
      <c r="AW902" s="79"/>
      <c r="AX902" s="79"/>
      <c r="AY902" s="79"/>
      <c r="AZ902" s="79"/>
      <c r="BA902" s="79"/>
      <c r="BB902" s="11"/>
      <c r="BC902" s="11"/>
      <c r="BD902" s="11"/>
      <c r="BE902" s="73"/>
      <c r="BF902" s="73"/>
      <c r="BG902" s="73"/>
      <c r="BH902" s="77"/>
      <c r="BI902" s="77"/>
      <c r="BJ902" s="77"/>
      <c r="BK902" s="77"/>
      <c r="BL902" s="77"/>
      <c r="BM902" s="77"/>
      <c r="BN902" s="158"/>
      <c r="BO902" s="158"/>
    </row>
    <row r="903" spans="1:67" ht="15" x14ac:dyDescent="0.25">
      <c r="A903" s="71"/>
      <c r="B903" s="11"/>
      <c r="C903" s="11"/>
      <c r="D903" s="11"/>
      <c r="E903" s="11"/>
      <c r="F903" s="11"/>
      <c r="G903" s="11"/>
      <c r="H903" s="11"/>
      <c r="I903" s="11"/>
      <c r="J903" s="249"/>
      <c r="K903" s="72"/>
      <c r="L903" s="73"/>
      <c r="M903" s="73"/>
      <c r="N903" s="74"/>
      <c r="O903" s="75"/>
      <c r="P903" s="73"/>
      <c r="Q903" s="76"/>
      <c r="R903" s="76"/>
      <c r="S903" s="76"/>
      <c r="T903" s="76"/>
      <c r="U903" s="76"/>
      <c r="V903" s="76"/>
      <c r="W903" s="76"/>
      <c r="X903" s="76"/>
      <c r="Y903" s="76"/>
      <c r="Z903" s="77"/>
      <c r="AA903" s="77"/>
      <c r="AB903" s="77"/>
      <c r="AC903" s="77"/>
      <c r="AD903" s="77"/>
      <c r="AE903" s="77"/>
      <c r="AF903" s="77"/>
      <c r="AG903" s="77"/>
      <c r="AH903" s="78"/>
      <c r="AI903" s="78"/>
      <c r="AJ903" s="78"/>
      <c r="AK903" s="78"/>
      <c r="AL903" s="78"/>
      <c r="AM903" s="78"/>
      <c r="AN903" s="76"/>
      <c r="AO903" s="76"/>
      <c r="AP903" s="76"/>
      <c r="AQ903" s="76"/>
      <c r="AR903" s="76"/>
      <c r="AS903" s="76"/>
      <c r="AT903" s="76"/>
      <c r="AU903" s="76"/>
      <c r="AV903" s="76"/>
      <c r="AW903" s="79"/>
      <c r="AX903" s="79"/>
      <c r="AY903" s="79"/>
      <c r="AZ903" s="79"/>
      <c r="BA903" s="79"/>
      <c r="BB903" s="11"/>
      <c r="BC903" s="11"/>
      <c r="BD903" s="11"/>
      <c r="BE903" s="73"/>
      <c r="BF903" s="73"/>
      <c r="BG903" s="73"/>
      <c r="BH903" s="77"/>
      <c r="BI903" s="77"/>
      <c r="BJ903" s="77"/>
      <c r="BK903" s="77"/>
      <c r="BL903" s="77"/>
      <c r="BM903" s="77"/>
      <c r="BN903" s="158"/>
      <c r="BO903" s="158"/>
    </row>
    <row r="904" spans="1:67" ht="15" x14ac:dyDescent="0.25">
      <c r="A904" s="71"/>
      <c r="B904" s="11"/>
      <c r="C904" s="11"/>
      <c r="D904" s="11"/>
      <c r="E904" s="11"/>
      <c r="F904" s="11"/>
      <c r="G904" s="11"/>
      <c r="H904" s="11"/>
      <c r="I904" s="11"/>
      <c r="J904" s="249"/>
      <c r="K904" s="72"/>
      <c r="L904" s="73"/>
      <c r="M904" s="73"/>
      <c r="N904" s="74"/>
      <c r="O904" s="75"/>
      <c r="P904" s="73"/>
      <c r="Q904" s="76"/>
      <c r="R904" s="76"/>
      <c r="S904" s="76"/>
      <c r="T904" s="76"/>
      <c r="U904" s="76"/>
      <c r="V904" s="76"/>
      <c r="W904" s="76"/>
      <c r="X904" s="76"/>
      <c r="Y904" s="76"/>
      <c r="Z904" s="77"/>
      <c r="AA904" s="77"/>
      <c r="AB904" s="77"/>
      <c r="AC904" s="77"/>
      <c r="AD904" s="77"/>
      <c r="AE904" s="77"/>
      <c r="AF904" s="77"/>
      <c r="AG904" s="77"/>
      <c r="AH904" s="78"/>
      <c r="AI904" s="78"/>
      <c r="AJ904" s="78"/>
      <c r="AK904" s="78"/>
      <c r="AL904" s="78"/>
      <c r="AM904" s="78"/>
      <c r="AN904" s="76"/>
      <c r="AO904" s="76"/>
      <c r="AP904" s="76"/>
      <c r="AQ904" s="76"/>
      <c r="AR904" s="76"/>
      <c r="AS904" s="76"/>
      <c r="AT904" s="76"/>
      <c r="AU904" s="76"/>
      <c r="AV904" s="76"/>
      <c r="AW904" s="79"/>
      <c r="AX904" s="79"/>
      <c r="AY904" s="79"/>
      <c r="AZ904" s="79"/>
      <c r="BA904" s="79"/>
      <c r="BB904" s="11"/>
      <c r="BC904" s="11"/>
      <c r="BD904" s="11"/>
      <c r="BE904" s="73"/>
      <c r="BF904" s="73"/>
      <c r="BG904" s="73"/>
      <c r="BH904" s="77"/>
      <c r="BI904" s="77"/>
      <c r="BJ904" s="77"/>
      <c r="BK904" s="77"/>
      <c r="BL904" s="77"/>
      <c r="BM904" s="77"/>
      <c r="BN904" s="158"/>
      <c r="BO904" s="158"/>
    </row>
    <row r="905" spans="1:67" ht="15" x14ac:dyDescent="0.25">
      <c r="A905" s="71"/>
      <c r="B905" s="11"/>
      <c r="C905" s="11"/>
      <c r="D905" s="11"/>
      <c r="E905" s="11"/>
      <c r="F905" s="11"/>
      <c r="G905" s="11"/>
      <c r="H905" s="11"/>
      <c r="I905" s="11"/>
      <c r="J905" s="249"/>
      <c r="K905" s="72"/>
      <c r="L905" s="73"/>
      <c r="M905" s="73"/>
      <c r="N905" s="74"/>
      <c r="O905" s="75"/>
      <c r="P905" s="73"/>
      <c r="Q905" s="76"/>
      <c r="R905" s="76"/>
      <c r="S905" s="76"/>
      <c r="T905" s="76"/>
      <c r="U905" s="76"/>
      <c r="V905" s="76"/>
      <c r="W905" s="76"/>
      <c r="X905" s="76"/>
      <c r="Y905" s="76"/>
      <c r="Z905" s="77"/>
      <c r="AA905" s="77"/>
      <c r="AB905" s="77"/>
      <c r="AC905" s="77"/>
      <c r="AD905" s="77"/>
      <c r="AE905" s="77"/>
      <c r="AF905" s="77"/>
      <c r="AG905" s="77"/>
      <c r="AH905" s="78"/>
      <c r="AI905" s="78"/>
      <c r="AJ905" s="78"/>
      <c r="AK905" s="78"/>
      <c r="AL905" s="78"/>
      <c r="AM905" s="78"/>
      <c r="AN905" s="76"/>
      <c r="AO905" s="76"/>
      <c r="AP905" s="76"/>
      <c r="AQ905" s="76"/>
      <c r="AR905" s="76"/>
      <c r="AS905" s="76"/>
      <c r="AT905" s="76"/>
      <c r="AU905" s="76"/>
      <c r="AV905" s="76"/>
      <c r="AW905" s="79"/>
      <c r="AX905" s="79"/>
      <c r="AY905" s="79"/>
      <c r="AZ905" s="79"/>
      <c r="BA905" s="79"/>
      <c r="BB905" s="11"/>
      <c r="BC905" s="11"/>
      <c r="BD905" s="11"/>
      <c r="BE905" s="73"/>
      <c r="BF905" s="73"/>
      <c r="BG905" s="73"/>
      <c r="BH905" s="77"/>
      <c r="BI905" s="77"/>
      <c r="BJ905" s="77"/>
      <c r="BK905" s="77"/>
      <c r="BL905" s="77"/>
      <c r="BM905" s="77"/>
      <c r="BN905" s="158"/>
      <c r="BO905" s="158"/>
    </row>
    <row r="906" spans="1:67" ht="15" x14ac:dyDescent="0.25">
      <c r="A906" s="71"/>
      <c r="B906" s="11"/>
      <c r="C906" s="11"/>
      <c r="D906" s="11"/>
      <c r="E906" s="11"/>
      <c r="F906" s="11"/>
      <c r="G906" s="11"/>
      <c r="H906" s="11"/>
      <c r="I906" s="11"/>
      <c r="J906" s="249"/>
      <c r="K906" s="72"/>
      <c r="L906" s="73"/>
      <c r="M906" s="73"/>
      <c r="N906" s="74"/>
      <c r="O906" s="75"/>
      <c r="P906" s="73"/>
      <c r="Q906" s="76"/>
      <c r="R906" s="76"/>
      <c r="S906" s="76"/>
      <c r="T906" s="76"/>
      <c r="U906" s="76"/>
      <c r="V906" s="76"/>
      <c r="W906" s="76"/>
      <c r="X906" s="76"/>
      <c r="Y906" s="76"/>
      <c r="Z906" s="77"/>
      <c r="AA906" s="77"/>
      <c r="AB906" s="77"/>
      <c r="AC906" s="77"/>
      <c r="AD906" s="77"/>
      <c r="AE906" s="77"/>
      <c r="AF906" s="77"/>
      <c r="AG906" s="77"/>
      <c r="AH906" s="78"/>
      <c r="AI906" s="78"/>
      <c r="AJ906" s="78"/>
      <c r="AK906" s="78"/>
      <c r="AL906" s="78"/>
      <c r="AM906" s="78"/>
      <c r="AN906" s="76"/>
      <c r="AO906" s="76"/>
      <c r="AP906" s="76"/>
      <c r="AQ906" s="76"/>
      <c r="AR906" s="76"/>
      <c r="AS906" s="76"/>
      <c r="AT906" s="76"/>
      <c r="AU906" s="76"/>
      <c r="AV906" s="76"/>
      <c r="AW906" s="79"/>
      <c r="AX906" s="79"/>
      <c r="AY906" s="79"/>
      <c r="AZ906" s="79"/>
      <c r="BA906" s="79"/>
      <c r="BB906" s="11"/>
      <c r="BC906" s="11"/>
      <c r="BD906" s="11"/>
      <c r="BE906" s="73"/>
      <c r="BF906" s="73"/>
      <c r="BG906" s="73"/>
      <c r="BH906" s="77"/>
      <c r="BI906" s="77"/>
      <c r="BJ906" s="77"/>
      <c r="BK906" s="77"/>
      <c r="BL906" s="77"/>
      <c r="BM906" s="77"/>
      <c r="BN906" s="158"/>
      <c r="BO906" s="158"/>
    </row>
    <row r="907" spans="1:67" ht="15" x14ac:dyDescent="0.25">
      <c r="A907" s="71"/>
      <c r="B907" s="11"/>
      <c r="C907" s="11"/>
      <c r="D907" s="11"/>
      <c r="E907" s="11"/>
      <c r="F907" s="11"/>
      <c r="G907" s="11"/>
      <c r="H907" s="11"/>
      <c r="I907" s="11"/>
      <c r="J907" s="249"/>
      <c r="K907" s="72"/>
      <c r="L907" s="73"/>
      <c r="M907" s="73"/>
      <c r="N907" s="74"/>
      <c r="O907" s="75"/>
      <c r="P907" s="73"/>
      <c r="Q907" s="76"/>
      <c r="R907" s="76"/>
      <c r="S907" s="76"/>
      <c r="T907" s="76"/>
      <c r="U907" s="76"/>
      <c r="V907" s="76"/>
      <c r="W907" s="76"/>
      <c r="X907" s="76"/>
      <c r="Y907" s="76"/>
      <c r="Z907" s="77"/>
      <c r="AA907" s="77"/>
      <c r="AB907" s="77"/>
      <c r="AC907" s="77"/>
      <c r="AD907" s="77"/>
      <c r="AE907" s="77"/>
      <c r="AF907" s="77"/>
      <c r="AG907" s="77"/>
      <c r="AH907" s="78"/>
      <c r="AI907" s="78"/>
      <c r="AJ907" s="78"/>
      <c r="AK907" s="78"/>
      <c r="AL907" s="78"/>
      <c r="AM907" s="78"/>
      <c r="AN907" s="76"/>
      <c r="AO907" s="76"/>
      <c r="AP907" s="76"/>
      <c r="AQ907" s="76"/>
      <c r="AR907" s="76"/>
      <c r="AS907" s="76"/>
      <c r="AT907" s="76"/>
      <c r="AU907" s="76"/>
      <c r="AV907" s="76"/>
      <c r="AW907" s="79"/>
      <c r="AX907" s="79"/>
      <c r="AY907" s="79"/>
      <c r="AZ907" s="79"/>
      <c r="BA907" s="79"/>
      <c r="BB907" s="11"/>
      <c r="BC907" s="11"/>
      <c r="BD907" s="11"/>
      <c r="BE907" s="73"/>
      <c r="BF907" s="73"/>
      <c r="BG907" s="73"/>
      <c r="BH907" s="77"/>
      <c r="BI907" s="77"/>
      <c r="BJ907" s="77"/>
      <c r="BK907" s="77"/>
      <c r="BL907" s="77"/>
      <c r="BM907" s="77"/>
      <c r="BN907" s="158"/>
      <c r="BO907" s="158"/>
    </row>
    <row r="908" spans="1:67" ht="15" x14ac:dyDescent="0.25">
      <c r="A908" s="71"/>
      <c r="B908" s="11"/>
      <c r="C908" s="11"/>
      <c r="D908" s="11"/>
      <c r="E908" s="11"/>
      <c r="F908" s="11"/>
      <c r="G908" s="11"/>
      <c r="H908" s="11"/>
      <c r="I908" s="11"/>
      <c r="J908" s="249"/>
      <c r="K908" s="72"/>
      <c r="L908" s="73"/>
      <c r="M908" s="73"/>
      <c r="N908" s="74"/>
      <c r="O908" s="75"/>
      <c r="P908" s="73"/>
      <c r="Q908" s="76"/>
      <c r="R908" s="76"/>
      <c r="S908" s="76"/>
      <c r="T908" s="76"/>
      <c r="U908" s="76"/>
      <c r="V908" s="76"/>
      <c r="W908" s="76"/>
      <c r="X908" s="76"/>
      <c r="Y908" s="76"/>
      <c r="Z908" s="77"/>
      <c r="AA908" s="77"/>
      <c r="AB908" s="77"/>
      <c r="AC908" s="77"/>
      <c r="AD908" s="77"/>
      <c r="AE908" s="77"/>
      <c r="AF908" s="77"/>
      <c r="AG908" s="77"/>
      <c r="AH908" s="78"/>
      <c r="AI908" s="78"/>
      <c r="AJ908" s="78"/>
      <c r="AK908" s="78"/>
      <c r="AL908" s="78"/>
      <c r="AM908" s="78"/>
      <c r="AN908" s="76"/>
      <c r="AO908" s="76"/>
      <c r="AP908" s="76"/>
      <c r="AQ908" s="76"/>
      <c r="AR908" s="76"/>
      <c r="AS908" s="76"/>
      <c r="AT908" s="76"/>
      <c r="AU908" s="76"/>
      <c r="AV908" s="76"/>
      <c r="AW908" s="79"/>
      <c r="AX908" s="79"/>
      <c r="AY908" s="79"/>
      <c r="AZ908" s="79"/>
      <c r="BA908" s="79"/>
      <c r="BB908" s="11"/>
      <c r="BC908" s="11"/>
      <c r="BD908" s="11"/>
      <c r="BE908" s="73"/>
      <c r="BF908" s="73"/>
      <c r="BG908" s="73"/>
      <c r="BH908" s="77"/>
      <c r="BI908" s="77"/>
      <c r="BJ908" s="77"/>
      <c r="BK908" s="77"/>
      <c r="BL908" s="77"/>
      <c r="BM908" s="77"/>
      <c r="BN908" s="158"/>
      <c r="BO908" s="158"/>
    </row>
    <row r="909" spans="1:67" ht="15" x14ac:dyDescent="0.25">
      <c r="A909" s="71"/>
      <c r="B909" s="11"/>
      <c r="C909" s="11"/>
      <c r="D909" s="11"/>
      <c r="E909" s="11"/>
      <c r="F909" s="11"/>
      <c r="G909" s="11"/>
      <c r="H909" s="11"/>
      <c r="I909" s="11"/>
      <c r="J909" s="249"/>
      <c r="K909" s="72"/>
      <c r="L909" s="73"/>
      <c r="M909" s="73"/>
      <c r="N909" s="74"/>
      <c r="O909" s="75"/>
      <c r="P909" s="73"/>
      <c r="Q909" s="76"/>
      <c r="R909" s="76"/>
      <c r="S909" s="76"/>
      <c r="T909" s="76"/>
      <c r="U909" s="76"/>
      <c r="V909" s="76"/>
      <c r="W909" s="76"/>
      <c r="X909" s="76"/>
      <c r="Y909" s="76"/>
      <c r="Z909" s="77"/>
      <c r="AA909" s="77"/>
      <c r="AB909" s="77"/>
      <c r="AC909" s="77"/>
      <c r="AD909" s="77"/>
      <c r="AE909" s="77"/>
      <c r="AF909" s="77"/>
      <c r="AG909" s="77"/>
      <c r="AH909" s="78"/>
      <c r="AI909" s="78"/>
      <c r="AJ909" s="78"/>
      <c r="AK909" s="78"/>
      <c r="AL909" s="78"/>
      <c r="AM909" s="78"/>
      <c r="AN909" s="76"/>
      <c r="AO909" s="76"/>
      <c r="AP909" s="76"/>
      <c r="AQ909" s="76"/>
      <c r="AR909" s="76"/>
      <c r="AS909" s="76"/>
      <c r="AT909" s="76"/>
      <c r="AU909" s="76"/>
      <c r="AV909" s="76"/>
      <c r="AW909" s="79"/>
      <c r="AX909" s="79"/>
      <c r="AY909" s="79"/>
      <c r="AZ909" s="79"/>
      <c r="BA909" s="79"/>
      <c r="BB909" s="11"/>
      <c r="BC909" s="11"/>
      <c r="BD909" s="11"/>
      <c r="BE909" s="73"/>
      <c r="BF909" s="73"/>
      <c r="BG909" s="73"/>
      <c r="BH909" s="77"/>
      <c r="BI909" s="77"/>
      <c r="BJ909" s="77"/>
      <c r="BK909" s="77"/>
      <c r="BL909" s="77"/>
      <c r="BM909" s="77"/>
      <c r="BN909" s="158"/>
      <c r="BO909" s="158"/>
    </row>
    <row r="910" spans="1:67" ht="15" x14ac:dyDescent="0.25">
      <c r="A910" s="71"/>
      <c r="B910" s="11"/>
      <c r="C910" s="11"/>
      <c r="D910" s="11"/>
      <c r="E910" s="11"/>
      <c r="F910" s="11"/>
      <c r="G910" s="11"/>
      <c r="H910" s="11"/>
      <c r="I910" s="11"/>
      <c r="J910" s="249"/>
      <c r="K910" s="72"/>
      <c r="L910" s="73"/>
      <c r="M910" s="73"/>
      <c r="N910" s="74"/>
      <c r="O910" s="75"/>
      <c r="P910" s="73"/>
      <c r="Q910" s="76"/>
      <c r="R910" s="76"/>
      <c r="S910" s="76"/>
      <c r="T910" s="76"/>
      <c r="U910" s="76"/>
      <c r="V910" s="76"/>
      <c r="W910" s="76"/>
      <c r="X910" s="76"/>
      <c r="Y910" s="76"/>
      <c r="Z910" s="77"/>
      <c r="AA910" s="77"/>
      <c r="AB910" s="77"/>
      <c r="AC910" s="77"/>
      <c r="AD910" s="77"/>
      <c r="AE910" s="77"/>
      <c r="AF910" s="77"/>
      <c r="AG910" s="77"/>
      <c r="AH910" s="78"/>
      <c r="AI910" s="78"/>
      <c r="AJ910" s="78"/>
      <c r="AK910" s="78"/>
      <c r="AL910" s="78"/>
      <c r="AM910" s="78"/>
      <c r="AN910" s="76"/>
      <c r="AO910" s="76"/>
      <c r="AP910" s="76"/>
      <c r="AQ910" s="76"/>
      <c r="AR910" s="76"/>
      <c r="AS910" s="76"/>
      <c r="AT910" s="76"/>
      <c r="AU910" s="76"/>
      <c r="AV910" s="76"/>
      <c r="AW910" s="79"/>
      <c r="AX910" s="79"/>
      <c r="AY910" s="79"/>
      <c r="AZ910" s="79"/>
      <c r="BA910" s="79"/>
      <c r="BB910" s="11"/>
      <c r="BC910" s="11"/>
      <c r="BD910" s="11"/>
      <c r="BE910" s="73"/>
      <c r="BF910" s="73"/>
      <c r="BG910" s="73"/>
      <c r="BH910" s="77"/>
      <c r="BI910" s="77"/>
      <c r="BJ910" s="77"/>
      <c r="BK910" s="77"/>
      <c r="BL910" s="77"/>
      <c r="BM910" s="77"/>
      <c r="BN910" s="158"/>
      <c r="BO910" s="158"/>
    </row>
    <row r="911" spans="1:67" ht="15" x14ac:dyDescent="0.25">
      <c r="A911" s="71"/>
      <c r="B911" s="11"/>
      <c r="C911" s="11"/>
      <c r="D911" s="11"/>
      <c r="E911" s="11"/>
      <c r="F911" s="11"/>
      <c r="G911" s="11"/>
      <c r="H911" s="11"/>
      <c r="I911" s="11"/>
      <c r="J911" s="249"/>
      <c r="K911" s="72"/>
      <c r="L911" s="73"/>
      <c r="M911" s="73"/>
      <c r="N911" s="74"/>
      <c r="O911" s="75"/>
      <c r="P911" s="73"/>
      <c r="Q911" s="76"/>
      <c r="R911" s="76"/>
      <c r="S911" s="76"/>
      <c r="T911" s="76"/>
      <c r="U911" s="76"/>
      <c r="V911" s="76"/>
      <c r="W911" s="76"/>
      <c r="X911" s="76"/>
      <c r="Y911" s="76"/>
      <c r="Z911" s="77"/>
      <c r="AA911" s="77"/>
      <c r="AB911" s="77"/>
      <c r="AC911" s="77"/>
      <c r="AD911" s="77"/>
      <c r="AE911" s="77"/>
      <c r="AF911" s="77"/>
      <c r="AG911" s="77"/>
      <c r="AH911" s="78"/>
      <c r="AI911" s="78"/>
      <c r="AJ911" s="78"/>
      <c r="AK911" s="78"/>
      <c r="AL911" s="78"/>
      <c r="AM911" s="78"/>
      <c r="AN911" s="76"/>
      <c r="AO911" s="76"/>
      <c r="AP911" s="76"/>
      <c r="AQ911" s="76"/>
      <c r="AR911" s="76"/>
      <c r="AS911" s="76"/>
      <c r="AT911" s="76"/>
      <c r="AU911" s="76"/>
      <c r="AV911" s="76"/>
      <c r="AW911" s="79"/>
      <c r="AX911" s="79"/>
      <c r="AY911" s="79"/>
      <c r="AZ911" s="79"/>
      <c r="BA911" s="79"/>
      <c r="BB911" s="11"/>
      <c r="BC911" s="11"/>
      <c r="BD911" s="11"/>
      <c r="BE911" s="73"/>
      <c r="BF911" s="73"/>
      <c r="BG911" s="73"/>
      <c r="BH911" s="77"/>
      <c r="BI911" s="77"/>
      <c r="BJ911" s="77"/>
      <c r="BK911" s="77"/>
      <c r="BL911" s="77"/>
      <c r="BM911" s="77"/>
      <c r="BN911" s="158"/>
      <c r="BO911" s="158"/>
    </row>
    <row r="912" spans="1:67" ht="15" x14ac:dyDescent="0.25">
      <c r="A912" s="71"/>
      <c r="B912" s="11"/>
      <c r="C912" s="11"/>
      <c r="D912" s="11"/>
      <c r="E912" s="11"/>
      <c r="F912" s="11"/>
      <c r="G912" s="11"/>
      <c r="H912" s="11"/>
      <c r="I912" s="11"/>
      <c r="J912" s="249"/>
      <c r="K912" s="72"/>
      <c r="L912" s="73"/>
      <c r="M912" s="73"/>
      <c r="N912" s="74"/>
      <c r="O912" s="75"/>
      <c r="P912" s="73"/>
      <c r="Q912" s="76"/>
      <c r="R912" s="76"/>
      <c r="S912" s="76"/>
      <c r="T912" s="76"/>
      <c r="U912" s="76"/>
      <c r="V912" s="76"/>
      <c r="W912" s="76"/>
      <c r="X912" s="76"/>
      <c r="Y912" s="76"/>
      <c r="Z912" s="77"/>
      <c r="AA912" s="77"/>
      <c r="AB912" s="77"/>
      <c r="AC912" s="77"/>
      <c r="AD912" s="77"/>
      <c r="AE912" s="77"/>
      <c r="AF912" s="77"/>
      <c r="AG912" s="77"/>
      <c r="AH912" s="78"/>
      <c r="AI912" s="78"/>
      <c r="AJ912" s="78"/>
      <c r="AK912" s="78"/>
      <c r="AL912" s="78"/>
      <c r="AM912" s="78"/>
      <c r="AN912" s="76"/>
      <c r="AO912" s="76"/>
      <c r="AP912" s="76"/>
      <c r="AQ912" s="76"/>
      <c r="AR912" s="76"/>
      <c r="AS912" s="76"/>
      <c r="AT912" s="76"/>
      <c r="AU912" s="76"/>
      <c r="AV912" s="76"/>
      <c r="AW912" s="79"/>
      <c r="AX912" s="79"/>
      <c r="AY912" s="79"/>
      <c r="AZ912" s="79"/>
      <c r="BA912" s="79"/>
      <c r="BB912" s="11"/>
      <c r="BC912" s="11"/>
      <c r="BD912" s="11"/>
      <c r="BE912" s="73"/>
      <c r="BF912" s="73"/>
      <c r="BG912" s="73"/>
      <c r="BH912" s="77"/>
      <c r="BI912" s="77"/>
      <c r="BJ912" s="77"/>
      <c r="BK912" s="77"/>
      <c r="BL912" s="77"/>
      <c r="BM912" s="77"/>
      <c r="BN912" s="158"/>
      <c r="BO912" s="158"/>
    </row>
    <row r="913" spans="1:67" ht="15" x14ac:dyDescent="0.25">
      <c r="A913" s="71"/>
      <c r="B913" s="11"/>
      <c r="C913" s="11"/>
      <c r="D913" s="11"/>
      <c r="E913" s="11"/>
      <c r="F913" s="11"/>
      <c r="G913" s="11"/>
      <c r="H913" s="11"/>
      <c r="I913" s="11"/>
      <c r="J913" s="249"/>
      <c r="K913" s="72"/>
      <c r="L913" s="73"/>
      <c r="M913" s="73"/>
      <c r="N913" s="74"/>
      <c r="O913" s="75"/>
      <c r="P913" s="73"/>
      <c r="Q913" s="76"/>
      <c r="R913" s="76"/>
      <c r="S913" s="76"/>
      <c r="T913" s="76"/>
      <c r="U913" s="76"/>
      <c r="V913" s="76"/>
      <c r="W913" s="76"/>
      <c r="X913" s="76"/>
      <c r="Y913" s="76"/>
      <c r="Z913" s="77"/>
      <c r="AA913" s="77"/>
      <c r="AB913" s="77"/>
      <c r="AC913" s="77"/>
      <c r="AD913" s="77"/>
      <c r="AE913" s="77"/>
      <c r="AF913" s="77"/>
      <c r="AG913" s="77"/>
      <c r="AH913" s="78"/>
      <c r="AI913" s="78"/>
      <c r="AJ913" s="78"/>
      <c r="AK913" s="78"/>
      <c r="AL913" s="78"/>
      <c r="AM913" s="78"/>
      <c r="AN913" s="76"/>
      <c r="AO913" s="76"/>
      <c r="AP913" s="76"/>
      <c r="AQ913" s="76"/>
      <c r="AR913" s="76"/>
      <c r="AS913" s="76"/>
      <c r="AT913" s="76"/>
      <c r="AU913" s="76"/>
      <c r="AV913" s="76"/>
      <c r="AW913" s="79"/>
      <c r="AX913" s="79"/>
      <c r="AY913" s="79"/>
      <c r="AZ913" s="79"/>
      <c r="BA913" s="79"/>
      <c r="BB913" s="11"/>
      <c r="BC913" s="11"/>
      <c r="BD913" s="11"/>
      <c r="BE913" s="73"/>
      <c r="BF913" s="73"/>
      <c r="BG913" s="73"/>
      <c r="BH913" s="77"/>
      <c r="BI913" s="77"/>
      <c r="BJ913" s="77"/>
      <c r="BK913" s="77"/>
      <c r="BL913" s="77"/>
      <c r="BM913" s="77"/>
      <c r="BN913" s="158"/>
      <c r="BO913" s="158"/>
    </row>
    <row r="914" spans="1:67" ht="15" x14ac:dyDescent="0.25">
      <c r="A914" s="71"/>
      <c r="B914" s="11"/>
      <c r="C914" s="11"/>
      <c r="D914" s="11"/>
      <c r="E914" s="11"/>
      <c r="F914" s="11"/>
      <c r="G914" s="11"/>
      <c r="H914" s="11"/>
      <c r="I914" s="11"/>
      <c r="J914" s="249"/>
      <c r="K914" s="72"/>
      <c r="L914" s="73"/>
      <c r="M914" s="73"/>
      <c r="N914" s="74"/>
      <c r="O914" s="75"/>
      <c r="P914" s="73"/>
      <c r="Q914" s="76"/>
      <c r="R914" s="76"/>
      <c r="S914" s="76"/>
      <c r="T914" s="76"/>
      <c r="U914" s="76"/>
      <c r="V914" s="76"/>
      <c r="W914" s="76"/>
      <c r="X914" s="76"/>
      <c r="Y914" s="76"/>
      <c r="Z914" s="77"/>
      <c r="AA914" s="77"/>
      <c r="AB914" s="77"/>
      <c r="AC914" s="77"/>
      <c r="AD914" s="77"/>
      <c r="AE914" s="77"/>
      <c r="AF914" s="77"/>
      <c r="AG914" s="77"/>
      <c r="AH914" s="78"/>
      <c r="AI914" s="78"/>
      <c r="AJ914" s="78"/>
      <c r="AK914" s="78"/>
      <c r="AL914" s="78"/>
      <c r="AM914" s="78"/>
      <c r="AN914" s="76"/>
      <c r="AO914" s="76"/>
      <c r="AP914" s="76"/>
      <c r="AQ914" s="76"/>
      <c r="AR914" s="76"/>
      <c r="AS914" s="76"/>
      <c r="AT914" s="76"/>
      <c r="AU914" s="76"/>
      <c r="AV914" s="76"/>
      <c r="AW914" s="79"/>
      <c r="AX914" s="79"/>
      <c r="AY914" s="79"/>
      <c r="AZ914" s="79"/>
      <c r="BA914" s="79"/>
      <c r="BB914" s="11"/>
      <c r="BC914" s="11"/>
      <c r="BD914" s="11"/>
      <c r="BE914" s="73"/>
      <c r="BF914" s="73"/>
      <c r="BG914" s="73"/>
      <c r="BH914" s="77"/>
      <c r="BI914" s="77"/>
      <c r="BJ914" s="77"/>
      <c r="BK914" s="77"/>
      <c r="BL914" s="77"/>
      <c r="BM914" s="77"/>
      <c r="BN914" s="158"/>
      <c r="BO914" s="158"/>
    </row>
    <row r="915" spans="1:67" ht="15" x14ac:dyDescent="0.25">
      <c r="A915" s="71"/>
      <c r="B915" s="11"/>
      <c r="C915" s="11"/>
      <c r="D915" s="11"/>
      <c r="E915" s="11"/>
      <c r="F915" s="11"/>
      <c r="G915" s="11"/>
      <c r="H915" s="11"/>
      <c r="I915" s="11"/>
      <c r="J915" s="249"/>
      <c r="K915" s="72"/>
      <c r="L915" s="73"/>
      <c r="M915" s="73"/>
      <c r="N915" s="74"/>
      <c r="O915" s="75"/>
      <c r="P915" s="73"/>
      <c r="Q915" s="76"/>
      <c r="R915" s="76"/>
      <c r="S915" s="76"/>
      <c r="T915" s="76"/>
      <c r="U915" s="76"/>
      <c r="V915" s="76"/>
      <c r="W915" s="76"/>
      <c r="X915" s="76"/>
      <c r="Y915" s="76"/>
      <c r="Z915" s="77"/>
      <c r="AA915" s="77"/>
      <c r="AB915" s="77"/>
      <c r="AC915" s="77"/>
      <c r="AD915" s="77"/>
      <c r="AE915" s="77"/>
      <c r="AF915" s="77"/>
      <c r="AG915" s="77"/>
      <c r="AH915" s="78"/>
      <c r="AI915" s="78"/>
      <c r="AJ915" s="78"/>
      <c r="AK915" s="78"/>
      <c r="AL915" s="78"/>
      <c r="AM915" s="78"/>
      <c r="AN915" s="76"/>
      <c r="AO915" s="76"/>
      <c r="AP915" s="76"/>
      <c r="AQ915" s="76"/>
      <c r="AR915" s="76"/>
      <c r="AS915" s="76"/>
      <c r="AT915" s="76"/>
      <c r="AU915" s="76"/>
      <c r="AV915" s="76"/>
      <c r="AW915" s="79"/>
      <c r="AX915" s="79"/>
      <c r="AY915" s="79"/>
      <c r="AZ915" s="79"/>
      <c r="BA915" s="79"/>
      <c r="BB915" s="11"/>
      <c r="BC915" s="11"/>
      <c r="BD915" s="11"/>
      <c r="BE915" s="73"/>
      <c r="BF915" s="73"/>
      <c r="BG915" s="73"/>
      <c r="BH915" s="77"/>
      <c r="BI915" s="77"/>
      <c r="BJ915" s="77"/>
      <c r="BK915" s="77"/>
      <c r="BL915" s="77"/>
      <c r="BM915" s="77"/>
      <c r="BN915" s="158"/>
      <c r="BO915" s="158"/>
    </row>
    <row r="916" spans="1:67" ht="15" x14ac:dyDescent="0.25">
      <c r="A916" s="71"/>
      <c r="B916" s="11"/>
      <c r="C916" s="11"/>
      <c r="D916" s="11"/>
      <c r="E916" s="11"/>
      <c r="F916" s="11"/>
      <c r="G916" s="11"/>
      <c r="H916" s="11"/>
      <c r="I916" s="11"/>
      <c r="J916" s="249"/>
      <c r="K916" s="72"/>
      <c r="L916" s="73"/>
      <c r="M916" s="73"/>
      <c r="N916" s="74"/>
      <c r="O916" s="75"/>
      <c r="P916" s="73"/>
      <c r="Q916" s="76"/>
      <c r="R916" s="76"/>
      <c r="S916" s="76"/>
      <c r="T916" s="76"/>
      <c r="U916" s="76"/>
      <c r="V916" s="76"/>
      <c r="W916" s="76"/>
      <c r="X916" s="76"/>
      <c r="Y916" s="76"/>
      <c r="Z916" s="77"/>
      <c r="AA916" s="77"/>
      <c r="AB916" s="77"/>
      <c r="AC916" s="77"/>
      <c r="AD916" s="77"/>
      <c r="AE916" s="77"/>
      <c r="AF916" s="77"/>
      <c r="AG916" s="77"/>
      <c r="AH916" s="78"/>
      <c r="AI916" s="78"/>
      <c r="AJ916" s="78"/>
      <c r="AK916" s="78"/>
      <c r="AL916" s="78"/>
      <c r="AM916" s="78"/>
      <c r="AN916" s="76"/>
      <c r="AO916" s="76"/>
      <c r="AP916" s="76"/>
      <c r="AQ916" s="76"/>
      <c r="AR916" s="76"/>
      <c r="AS916" s="76"/>
      <c r="AT916" s="76"/>
      <c r="AU916" s="76"/>
      <c r="AV916" s="76"/>
      <c r="AW916" s="79"/>
      <c r="AX916" s="79"/>
      <c r="AY916" s="79"/>
      <c r="AZ916" s="79"/>
      <c r="BA916" s="79"/>
      <c r="BB916" s="11"/>
      <c r="BC916" s="11"/>
      <c r="BD916" s="11"/>
      <c r="BE916" s="73"/>
      <c r="BF916" s="73"/>
      <c r="BG916" s="73"/>
      <c r="BH916" s="77"/>
      <c r="BI916" s="77"/>
      <c r="BJ916" s="77"/>
      <c r="BK916" s="77"/>
      <c r="BL916" s="77"/>
      <c r="BM916" s="77"/>
      <c r="BN916" s="158"/>
      <c r="BO916" s="158"/>
    </row>
    <row r="917" spans="1:67" ht="15" x14ac:dyDescent="0.25">
      <c r="A917" s="71"/>
      <c r="B917" s="11"/>
      <c r="C917" s="11"/>
      <c r="D917" s="11"/>
      <c r="E917" s="11"/>
      <c r="F917" s="11"/>
      <c r="G917" s="11"/>
      <c r="H917" s="11"/>
      <c r="I917" s="11"/>
      <c r="J917" s="249"/>
      <c r="K917" s="72"/>
      <c r="L917" s="73"/>
      <c r="M917" s="73"/>
      <c r="N917" s="74"/>
      <c r="O917" s="75"/>
      <c r="P917" s="73"/>
      <c r="Q917" s="76"/>
      <c r="R917" s="76"/>
      <c r="S917" s="76"/>
      <c r="T917" s="76"/>
      <c r="U917" s="76"/>
      <c r="V917" s="76"/>
      <c r="W917" s="76"/>
      <c r="X917" s="76"/>
      <c r="Y917" s="76"/>
      <c r="Z917" s="77"/>
      <c r="AA917" s="77"/>
      <c r="AB917" s="77"/>
      <c r="AC917" s="77"/>
      <c r="AD917" s="77"/>
      <c r="AE917" s="77"/>
      <c r="AF917" s="77"/>
      <c r="AG917" s="77"/>
      <c r="AH917" s="78"/>
      <c r="AI917" s="78"/>
      <c r="AJ917" s="78"/>
      <c r="AK917" s="78"/>
      <c r="AL917" s="78"/>
      <c r="AM917" s="78"/>
      <c r="AN917" s="76"/>
      <c r="AO917" s="76"/>
      <c r="AP917" s="76"/>
      <c r="AQ917" s="76"/>
      <c r="AR917" s="76"/>
      <c r="AS917" s="76"/>
      <c r="AT917" s="76"/>
      <c r="AU917" s="76"/>
      <c r="AV917" s="76"/>
      <c r="AW917" s="79"/>
      <c r="AX917" s="79"/>
      <c r="AY917" s="79"/>
      <c r="AZ917" s="79"/>
      <c r="BA917" s="79"/>
      <c r="BB917" s="11"/>
      <c r="BC917" s="11"/>
      <c r="BD917" s="11"/>
      <c r="BE917" s="73"/>
      <c r="BF917" s="73"/>
      <c r="BG917" s="73"/>
      <c r="BH917" s="77"/>
      <c r="BI917" s="77"/>
      <c r="BJ917" s="77"/>
      <c r="BK917" s="77"/>
      <c r="BL917" s="77"/>
      <c r="BM917" s="77"/>
      <c r="BN917" s="158"/>
      <c r="BO917" s="158"/>
    </row>
    <row r="918" spans="1:67" ht="15" x14ac:dyDescent="0.25">
      <c r="A918" s="71"/>
      <c r="B918" s="11"/>
      <c r="C918" s="11"/>
      <c r="D918" s="11"/>
      <c r="E918" s="11"/>
      <c r="F918" s="11"/>
      <c r="G918" s="11"/>
      <c r="H918" s="11"/>
      <c r="I918" s="11"/>
      <c r="J918" s="249"/>
      <c r="K918" s="72"/>
      <c r="L918" s="73"/>
      <c r="M918" s="73"/>
      <c r="N918" s="74"/>
      <c r="O918" s="75"/>
      <c r="P918" s="73"/>
      <c r="Q918" s="76"/>
      <c r="R918" s="76"/>
      <c r="S918" s="76"/>
      <c r="T918" s="76"/>
      <c r="U918" s="76"/>
      <c r="V918" s="76"/>
      <c r="W918" s="76"/>
      <c r="X918" s="76"/>
      <c r="Y918" s="76"/>
      <c r="Z918" s="77"/>
      <c r="AA918" s="77"/>
      <c r="AB918" s="77"/>
      <c r="AC918" s="77"/>
      <c r="AD918" s="77"/>
      <c r="AE918" s="77"/>
      <c r="AF918" s="77"/>
      <c r="AG918" s="77"/>
      <c r="AH918" s="78"/>
      <c r="AI918" s="78"/>
      <c r="AJ918" s="78"/>
      <c r="AK918" s="78"/>
      <c r="AL918" s="78"/>
      <c r="AM918" s="78"/>
      <c r="AN918" s="76"/>
      <c r="AO918" s="76"/>
      <c r="AP918" s="76"/>
      <c r="AQ918" s="76"/>
      <c r="AR918" s="76"/>
      <c r="AS918" s="76"/>
      <c r="AT918" s="76"/>
      <c r="AU918" s="76"/>
      <c r="AV918" s="76"/>
      <c r="AW918" s="79"/>
      <c r="AX918" s="79"/>
      <c r="AY918" s="79"/>
      <c r="AZ918" s="79"/>
      <c r="BA918" s="79"/>
      <c r="BB918" s="11"/>
      <c r="BC918" s="11"/>
      <c r="BD918" s="11"/>
      <c r="BE918" s="73"/>
      <c r="BF918" s="73"/>
      <c r="BG918" s="73"/>
      <c r="BH918" s="77"/>
      <c r="BI918" s="77"/>
      <c r="BJ918" s="77"/>
      <c r="BK918" s="77"/>
      <c r="BL918" s="77"/>
      <c r="BM918" s="77"/>
      <c r="BN918" s="158"/>
      <c r="BO918" s="158"/>
    </row>
    <row r="919" spans="1:67" ht="15" x14ac:dyDescent="0.25">
      <c r="A919" s="71"/>
      <c r="B919" s="11"/>
      <c r="C919" s="11"/>
      <c r="D919" s="11"/>
      <c r="E919" s="11"/>
      <c r="F919" s="11"/>
      <c r="G919" s="11"/>
      <c r="H919" s="11"/>
      <c r="I919" s="11"/>
      <c r="J919" s="249"/>
      <c r="K919" s="72"/>
      <c r="L919" s="73"/>
      <c r="M919" s="73"/>
      <c r="N919" s="74"/>
      <c r="O919" s="75"/>
      <c r="P919" s="73"/>
      <c r="Q919" s="76"/>
      <c r="R919" s="76"/>
      <c r="S919" s="76"/>
      <c r="T919" s="76"/>
      <c r="U919" s="76"/>
      <c r="V919" s="76"/>
      <c r="W919" s="76"/>
      <c r="X919" s="76"/>
      <c r="Y919" s="76"/>
      <c r="Z919" s="77"/>
      <c r="AA919" s="77"/>
      <c r="AB919" s="77"/>
      <c r="AC919" s="77"/>
      <c r="AD919" s="77"/>
      <c r="AE919" s="77"/>
      <c r="AF919" s="77"/>
      <c r="AG919" s="77"/>
      <c r="AH919" s="78"/>
      <c r="AI919" s="78"/>
      <c r="AJ919" s="78"/>
      <c r="AK919" s="78"/>
      <c r="AL919" s="78"/>
      <c r="AM919" s="78"/>
      <c r="AN919" s="76"/>
      <c r="AO919" s="76"/>
      <c r="AP919" s="76"/>
      <c r="AQ919" s="76"/>
      <c r="AR919" s="76"/>
      <c r="AS919" s="76"/>
      <c r="AT919" s="76"/>
      <c r="AU919" s="76"/>
      <c r="AV919" s="76"/>
      <c r="AW919" s="79"/>
      <c r="AX919" s="79"/>
      <c r="AY919" s="79"/>
      <c r="AZ919" s="79"/>
      <c r="BA919" s="79"/>
      <c r="BB919" s="11"/>
      <c r="BC919" s="11"/>
      <c r="BD919" s="11"/>
      <c r="BE919" s="73"/>
      <c r="BF919" s="73"/>
      <c r="BG919" s="73"/>
      <c r="BH919" s="77"/>
      <c r="BI919" s="77"/>
      <c r="BJ919" s="77"/>
      <c r="BK919" s="77"/>
      <c r="BL919" s="77"/>
      <c r="BM919" s="77"/>
      <c r="BN919" s="158"/>
      <c r="BO919" s="158"/>
    </row>
    <row r="920" spans="1:67" ht="15" x14ac:dyDescent="0.25">
      <c r="A920" s="71"/>
      <c r="B920" s="11"/>
      <c r="C920" s="11"/>
      <c r="D920" s="11"/>
      <c r="E920" s="11"/>
      <c r="F920" s="11"/>
      <c r="G920" s="11"/>
      <c r="H920" s="11"/>
      <c r="I920" s="11"/>
      <c r="J920" s="249"/>
      <c r="K920" s="72"/>
      <c r="L920" s="73"/>
      <c r="M920" s="73"/>
      <c r="N920" s="74"/>
      <c r="O920" s="75"/>
      <c r="P920" s="73"/>
      <c r="Q920" s="76"/>
      <c r="R920" s="76"/>
      <c r="S920" s="76"/>
      <c r="T920" s="76"/>
      <c r="U920" s="76"/>
      <c r="V920" s="76"/>
      <c r="W920" s="76"/>
      <c r="X920" s="76"/>
      <c r="Y920" s="76"/>
      <c r="Z920" s="77"/>
      <c r="AA920" s="77"/>
      <c r="AB920" s="77"/>
      <c r="AC920" s="77"/>
      <c r="AD920" s="77"/>
      <c r="AE920" s="77"/>
      <c r="AF920" s="77"/>
      <c r="AG920" s="77"/>
      <c r="AH920" s="78"/>
      <c r="AI920" s="78"/>
      <c r="AJ920" s="78"/>
      <c r="AK920" s="78"/>
      <c r="AL920" s="78"/>
      <c r="AM920" s="78"/>
      <c r="AN920" s="76"/>
      <c r="AO920" s="76"/>
      <c r="AP920" s="76"/>
      <c r="AQ920" s="76"/>
      <c r="AR920" s="76"/>
      <c r="AS920" s="76"/>
      <c r="AT920" s="76"/>
      <c r="AU920" s="76"/>
      <c r="AV920" s="76"/>
      <c r="AW920" s="79"/>
      <c r="AX920" s="79"/>
      <c r="AY920" s="79"/>
      <c r="AZ920" s="79"/>
      <c r="BA920" s="79"/>
      <c r="BB920" s="11"/>
      <c r="BC920" s="11"/>
      <c r="BD920" s="11"/>
      <c r="BE920" s="73"/>
      <c r="BF920" s="73"/>
      <c r="BG920" s="73"/>
      <c r="BH920" s="77"/>
      <c r="BI920" s="77"/>
      <c r="BJ920" s="77"/>
      <c r="BK920" s="77"/>
      <c r="BL920" s="77"/>
      <c r="BM920" s="77"/>
      <c r="BN920" s="158"/>
      <c r="BO920" s="158"/>
    </row>
    <row r="921" spans="1:67" ht="15" x14ac:dyDescent="0.25">
      <c r="A921" s="71"/>
      <c r="B921" s="11"/>
      <c r="C921" s="11"/>
      <c r="D921" s="11"/>
      <c r="E921" s="11"/>
      <c r="F921" s="11"/>
      <c r="G921" s="11"/>
      <c r="H921" s="11"/>
      <c r="I921" s="11"/>
      <c r="J921" s="249"/>
      <c r="K921" s="72"/>
      <c r="L921" s="73"/>
      <c r="M921" s="73"/>
      <c r="N921" s="74"/>
      <c r="O921" s="75"/>
      <c r="P921" s="73"/>
      <c r="Q921" s="76"/>
      <c r="R921" s="76"/>
      <c r="S921" s="76"/>
      <c r="T921" s="76"/>
      <c r="U921" s="76"/>
      <c r="V921" s="76"/>
      <c r="W921" s="76"/>
      <c r="X921" s="76"/>
      <c r="Y921" s="76"/>
      <c r="Z921" s="77"/>
      <c r="AA921" s="77"/>
      <c r="AB921" s="77"/>
      <c r="AC921" s="77"/>
      <c r="AD921" s="77"/>
      <c r="AE921" s="77"/>
      <c r="AF921" s="77"/>
      <c r="AG921" s="77"/>
      <c r="AH921" s="78"/>
      <c r="AI921" s="78"/>
      <c r="AJ921" s="78"/>
      <c r="AK921" s="78"/>
      <c r="AL921" s="78"/>
      <c r="AM921" s="78"/>
      <c r="AN921" s="76"/>
      <c r="AO921" s="76"/>
      <c r="AP921" s="76"/>
      <c r="AQ921" s="76"/>
      <c r="AR921" s="76"/>
      <c r="AS921" s="76"/>
      <c r="AT921" s="76"/>
      <c r="AU921" s="76"/>
      <c r="AV921" s="76"/>
      <c r="AW921" s="79"/>
      <c r="AX921" s="79"/>
      <c r="AY921" s="79"/>
      <c r="AZ921" s="79"/>
      <c r="BA921" s="79"/>
      <c r="BB921" s="11"/>
      <c r="BC921" s="11"/>
      <c r="BD921" s="11"/>
      <c r="BE921" s="73"/>
      <c r="BF921" s="73"/>
      <c r="BG921" s="73"/>
      <c r="BH921" s="77"/>
      <c r="BI921" s="77"/>
      <c r="BJ921" s="77"/>
      <c r="BK921" s="77"/>
      <c r="BL921" s="77"/>
      <c r="BM921" s="77"/>
      <c r="BN921" s="158"/>
      <c r="BO921" s="158"/>
    </row>
    <row r="922" spans="1:67" ht="15" x14ac:dyDescent="0.25">
      <c r="A922" s="71"/>
      <c r="B922" s="11"/>
      <c r="C922" s="11"/>
      <c r="D922" s="11"/>
      <c r="E922" s="11"/>
      <c r="F922" s="11"/>
      <c r="G922" s="11"/>
      <c r="H922" s="11"/>
      <c r="I922" s="11"/>
      <c r="J922" s="249"/>
      <c r="K922" s="72"/>
      <c r="L922" s="73"/>
      <c r="M922" s="73"/>
      <c r="N922" s="74"/>
      <c r="O922" s="75"/>
      <c r="P922" s="73"/>
      <c r="Q922" s="76"/>
      <c r="R922" s="76"/>
      <c r="S922" s="76"/>
      <c r="T922" s="76"/>
      <c r="U922" s="76"/>
      <c r="V922" s="76"/>
      <c r="W922" s="76"/>
      <c r="X922" s="76"/>
      <c r="Y922" s="76"/>
      <c r="Z922" s="77"/>
      <c r="AA922" s="77"/>
      <c r="AB922" s="77"/>
      <c r="AC922" s="77"/>
      <c r="AD922" s="77"/>
      <c r="AE922" s="77"/>
      <c r="AF922" s="77"/>
      <c r="AG922" s="77"/>
      <c r="AH922" s="78"/>
      <c r="AI922" s="78"/>
      <c r="AJ922" s="78"/>
      <c r="AK922" s="78"/>
      <c r="AL922" s="78"/>
      <c r="AM922" s="78"/>
      <c r="AN922" s="76"/>
      <c r="AO922" s="76"/>
      <c r="AP922" s="76"/>
      <c r="AQ922" s="76"/>
      <c r="AR922" s="76"/>
      <c r="AS922" s="76"/>
      <c r="AT922" s="76"/>
      <c r="AU922" s="76"/>
      <c r="AV922" s="76"/>
      <c r="AW922" s="79"/>
      <c r="AX922" s="79"/>
      <c r="AY922" s="79"/>
      <c r="AZ922" s="79"/>
      <c r="BA922" s="79"/>
      <c r="BB922" s="11"/>
      <c r="BC922" s="11"/>
      <c r="BD922" s="11"/>
      <c r="BE922" s="73"/>
      <c r="BF922" s="73"/>
      <c r="BG922" s="73"/>
      <c r="BH922" s="77"/>
      <c r="BI922" s="77"/>
      <c r="BJ922" s="77"/>
      <c r="BK922" s="77"/>
      <c r="BL922" s="77"/>
      <c r="BM922" s="77"/>
      <c r="BN922" s="158"/>
      <c r="BO922" s="158"/>
    </row>
    <row r="923" spans="1:67" ht="15" x14ac:dyDescent="0.25">
      <c r="A923" s="71"/>
      <c r="B923" s="11"/>
      <c r="C923" s="11"/>
      <c r="D923" s="11"/>
      <c r="E923" s="11"/>
      <c r="F923" s="11"/>
      <c r="G923" s="11"/>
      <c r="H923" s="11"/>
      <c r="I923" s="11"/>
      <c r="J923" s="249"/>
      <c r="K923" s="72"/>
      <c r="L923" s="73"/>
      <c r="M923" s="73"/>
      <c r="N923" s="74"/>
      <c r="O923" s="75"/>
      <c r="P923" s="73"/>
      <c r="Q923" s="76"/>
      <c r="R923" s="76"/>
      <c r="S923" s="76"/>
      <c r="T923" s="76"/>
      <c r="U923" s="76"/>
      <c r="V923" s="76"/>
      <c r="W923" s="76"/>
      <c r="X923" s="76"/>
      <c r="Y923" s="76"/>
      <c r="Z923" s="77"/>
      <c r="AA923" s="77"/>
      <c r="AB923" s="77"/>
      <c r="AC923" s="77"/>
      <c r="AD923" s="77"/>
      <c r="AE923" s="77"/>
      <c r="AF923" s="77"/>
      <c r="AG923" s="77"/>
      <c r="AH923" s="78"/>
      <c r="AI923" s="78"/>
      <c r="AJ923" s="78"/>
      <c r="AK923" s="78"/>
      <c r="AL923" s="78"/>
      <c r="AM923" s="78"/>
      <c r="AN923" s="76"/>
      <c r="AO923" s="76"/>
      <c r="AP923" s="76"/>
      <c r="AQ923" s="76"/>
      <c r="AR923" s="76"/>
      <c r="AS923" s="76"/>
      <c r="AT923" s="76"/>
      <c r="AU923" s="76"/>
      <c r="AV923" s="76"/>
      <c r="AW923" s="79"/>
      <c r="AX923" s="79"/>
      <c r="AY923" s="79"/>
      <c r="AZ923" s="79"/>
      <c r="BA923" s="79"/>
      <c r="BB923" s="11"/>
      <c r="BC923" s="11"/>
      <c r="BD923" s="11"/>
      <c r="BE923" s="73"/>
      <c r="BF923" s="73"/>
      <c r="BG923" s="73"/>
      <c r="BH923" s="77"/>
      <c r="BI923" s="77"/>
      <c r="BJ923" s="77"/>
      <c r="BK923" s="77"/>
      <c r="BL923" s="77"/>
      <c r="BM923" s="77"/>
      <c r="BN923" s="158"/>
      <c r="BO923" s="158"/>
    </row>
    <row r="924" spans="1:67" ht="15" x14ac:dyDescent="0.25">
      <c r="A924" s="71"/>
      <c r="B924" s="11"/>
      <c r="C924" s="11"/>
      <c r="D924" s="11"/>
      <c r="E924" s="11"/>
      <c r="F924" s="11"/>
      <c r="G924" s="11"/>
      <c r="H924" s="11"/>
      <c r="I924" s="11"/>
      <c r="J924" s="249"/>
      <c r="K924" s="72"/>
      <c r="L924" s="73"/>
      <c r="M924" s="73"/>
      <c r="N924" s="74"/>
      <c r="O924" s="75"/>
      <c r="P924" s="73"/>
      <c r="Q924" s="76"/>
      <c r="R924" s="76"/>
      <c r="S924" s="76"/>
      <c r="T924" s="76"/>
      <c r="U924" s="76"/>
      <c r="V924" s="76"/>
      <c r="W924" s="76"/>
      <c r="X924" s="76"/>
      <c r="Y924" s="76"/>
      <c r="Z924" s="77"/>
      <c r="AA924" s="77"/>
      <c r="AB924" s="77"/>
      <c r="AC924" s="77"/>
      <c r="AD924" s="77"/>
      <c r="AE924" s="77"/>
      <c r="AF924" s="77"/>
      <c r="AG924" s="77"/>
      <c r="AH924" s="78"/>
      <c r="AI924" s="78"/>
      <c r="AJ924" s="78"/>
      <c r="AK924" s="78"/>
      <c r="AL924" s="78"/>
      <c r="AM924" s="78"/>
      <c r="AN924" s="76"/>
      <c r="AO924" s="76"/>
      <c r="AP924" s="76"/>
      <c r="AQ924" s="76"/>
      <c r="AR924" s="76"/>
      <c r="AS924" s="76"/>
      <c r="AT924" s="76"/>
      <c r="AU924" s="76"/>
      <c r="AV924" s="76"/>
      <c r="AW924" s="79"/>
      <c r="AX924" s="79"/>
      <c r="AY924" s="79"/>
      <c r="AZ924" s="79"/>
      <c r="BA924" s="79"/>
      <c r="BB924" s="11"/>
      <c r="BC924" s="11"/>
      <c r="BD924" s="11"/>
      <c r="BE924" s="73"/>
      <c r="BF924" s="73"/>
      <c r="BG924" s="73"/>
      <c r="BH924" s="77"/>
      <c r="BI924" s="77"/>
      <c r="BJ924" s="77"/>
      <c r="BK924" s="77"/>
      <c r="BL924" s="77"/>
      <c r="BM924" s="77"/>
      <c r="BN924" s="158"/>
      <c r="BO924" s="158"/>
    </row>
    <row r="925" spans="1:67" ht="15" x14ac:dyDescent="0.25">
      <c r="A925" s="71"/>
      <c r="B925" s="11"/>
      <c r="C925" s="11"/>
      <c r="D925" s="11"/>
      <c r="E925" s="11"/>
      <c r="F925" s="11"/>
      <c r="G925" s="11"/>
      <c r="H925" s="11"/>
      <c r="I925" s="11"/>
      <c r="J925" s="249"/>
      <c r="K925" s="72"/>
      <c r="L925" s="73"/>
      <c r="M925" s="73"/>
      <c r="N925" s="74"/>
      <c r="O925" s="75"/>
      <c r="P925" s="73"/>
      <c r="Q925" s="76"/>
      <c r="R925" s="76"/>
      <c r="S925" s="76"/>
      <c r="T925" s="76"/>
      <c r="U925" s="76"/>
      <c r="V925" s="76"/>
      <c r="W925" s="76"/>
      <c r="X925" s="76"/>
      <c r="Y925" s="76"/>
      <c r="Z925" s="77"/>
      <c r="AA925" s="77"/>
      <c r="AB925" s="77"/>
      <c r="AC925" s="77"/>
      <c r="AD925" s="77"/>
      <c r="AE925" s="77"/>
      <c r="AF925" s="77"/>
      <c r="AG925" s="77"/>
      <c r="AH925" s="78"/>
      <c r="AI925" s="78"/>
      <c r="AJ925" s="78"/>
      <c r="AK925" s="78"/>
      <c r="AL925" s="78"/>
      <c r="AM925" s="78"/>
      <c r="AN925" s="76"/>
      <c r="AO925" s="76"/>
      <c r="AP925" s="76"/>
      <c r="AQ925" s="76"/>
      <c r="AR925" s="76"/>
      <c r="AS925" s="76"/>
      <c r="AT925" s="76"/>
      <c r="AU925" s="76"/>
      <c r="AV925" s="76"/>
      <c r="AW925" s="79"/>
      <c r="AX925" s="79"/>
      <c r="AY925" s="79"/>
      <c r="AZ925" s="79"/>
      <c r="BA925" s="79"/>
      <c r="BB925" s="11"/>
      <c r="BC925" s="11"/>
      <c r="BD925" s="11"/>
      <c r="BE925" s="73"/>
      <c r="BF925" s="73"/>
      <c r="BG925" s="73"/>
      <c r="BH925" s="77"/>
      <c r="BI925" s="77"/>
      <c r="BJ925" s="77"/>
      <c r="BK925" s="77"/>
      <c r="BL925" s="77"/>
      <c r="BM925" s="77"/>
      <c r="BN925" s="158"/>
      <c r="BO925" s="158"/>
    </row>
    <row r="926" spans="1:67" ht="15" x14ac:dyDescent="0.25">
      <c r="A926" s="71"/>
      <c r="B926" s="11"/>
      <c r="C926" s="11"/>
      <c r="D926" s="11"/>
      <c r="E926" s="11"/>
      <c r="F926" s="11"/>
      <c r="G926" s="11"/>
      <c r="H926" s="11"/>
      <c r="I926" s="11"/>
      <c r="J926" s="249"/>
      <c r="K926" s="72"/>
      <c r="L926" s="73"/>
      <c r="M926" s="73"/>
      <c r="N926" s="74"/>
      <c r="O926" s="75"/>
      <c r="P926" s="73"/>
      <c r="Q926" s="76"/>
      <c r="R926" s="76"/>
      <c r="S926" s="76"/>
      <c r="T926" s="76"/>
      <c r="U926" s="76"/>
      <c r="V926" s="76"/>
      <c r="W926" s="76"/>
      <c r="X926" s="76"/>
      <c r="Y926" s="76"/>
      <c r="Z926" s="77"/>
      <c r="AA926" s="77"/>
      <c r="AB926" s="77"/>
      <c r="AC926" s="77"/>
      <c r="AD926" s="77"/>
      <c r="AE926" s="77"/>
      <c r="AF926" s="77"/>
      <c r="AG926" s="77"/>
      <c r="AH926" s="78"/>
      <c r="AI926" s="78"/>
      <c r="AJ926" s="78"/>
      <c r="AK926" s="78"/>
      <c r="AL926" s="78"/>
      <c r="AM926" s="78"/>
      <c r="AN926" s="76"/>
      <c r="AO926" s="76"/>
      <c r="AP926" s="76"/>
      <c r="AQ926" s="76"/>
      <c r="AR926" s="76"/>
      <c r="AS926" s="76"/>
      <c r="AT926" s="76"/>
      <c r="AU926" s="76"/>
      <c r="AV926" s="76"/>
      <c r="AW926" s="79"/>
      <c r="AX926" s="79"/>
      <c r="AY926" s="79"/>
      <c r="AZ926" s="79"/>
      <c r="BA926" s="79"/>
      <c r="BB926" s="11"/>
      <c r="BC926" s="11"/>
      <c r="BD926" s="11"/>
      <c r="BE926" s="73"/>
      <c r="BF926" s="73"/>
      <c r="BG926" s="73"/>
      <c r="BH926" s="77"/>
      <c r="BI926" s="77"/>
      <c r="BJ926" s="77"/>
      <c r="BK926" s="77"/>
      <c r="BL926" s="77"/>
      <c r="BM926" s="77"/>
      <c r="BN926" s="158"/>
      <c r="BO926" s="158"/>
    </row>
    <row r="927" spans="1:67" ht="15" x14ac:dyDescent="0.25">
      <c r="A927" s="71"/>
      <c r="B927" s="11"/>
      <c r="C927" s="11"/>
      <c r="D927" s="11"/>
      <c r="E927" s="11"/>
      <c r="F927" s="11"/>
      <c r="G927" s="11"/>
      <c r="H927" s="11"/>
      <c r="I927" s="11"/>
      <c r="J927" s="249"/>
      <c r="K927" s="72"/>
      <c r="L927" s="73"/>
      <c r="M927" s="73"/>
      <c r="N927" s="74"/>
      <c r="O927" s="75"/>
      <c r="P927" s="73"/>
      <c r="Q927" s="76"/>
      <c r="R927" s="76"/>
      <c r="S927" s="76"/>
      <c r="T927" s="76"/>
      <c r="U927" s="76"/>
      <c r="V927" s="76"/>
      <c r="W927" s="76"/>
      <c r="X927" s="76"/>
      <c r="Y927" s="76"/>
      <c r="Z927" s="77"/>
      <c r="AA927" s="77"/>
      <c r="AB927" s="77"/>
      <c r="AC927" s="77"/>
      <c r="AD927" s="77"/>
      <c r="AE927" s="77"/>
      <c r="AF927" s="77"/>
      <c r="AG927" s="77"/>
      <c r="AH927" s="78"/>
      <c r="AI927" s="78"/>
      <c r="AJ927" s="78"/>
      <c r="AK927" s="78"/>
      <c r="AL927" s="78"/>
      <c r="AM927" s="78"/>
      <c r="AN927" s="76"/>
      <c r="AO927" s="76"/>
      <c r="AP927" s="76"/>
      <c r="AQ927" s="76"/>
      <c r="AR927" s="76"/>
      <c r="AS927" s="76"/>
      <c r="AT927" s="76"/>
      <c r="AU927" s="76"/>
      <c r="AV927" s="76"/>
      <c r="AW927" s="79"/>
      <c r="AX927" s="79"/>
      <c r="AY927" s="79"/>
      <c r="AZ927" s="79"/>
      <c r="BA927" s="79"/>
      <c r="BB927" s="11"/>
      <c r="BC927" s="11"/>
      <c r="BD927" s="11"/>
      <c r="BE927" s="73"/>
      <c r="BF927" s="73"/>
      <c r="BG927" s="73"/>
      <c r="BH927" s="77"/>
      <c r="BI927" s="77"/>
      <c r="BJ927" s="77"/>
      <c r="BK927" s="77"/>
      <c r="BL927" s="77"/>
      <c r="BM927" s="77"/>
      <c r="BN927" s="158"/>
      <c r="BO927" s="158"/>
    </row>
    <row r="928" spans="1:67" ht="15" x14ac:dyDescent="0.25">
      <c r="A928" s="71"/>
      <c r="B928" s="11"/>
      <c r="C928" s="11"/>
      <c r="D928" s="11"/>
      <c r="E928" s="11"/>
      <c r="F928" s="11"/>
      <c r="G928" s="11"/>
      <c r="H928" s="11"/>
      <c r="I928" s="11"/>
      <c r="J928" s="249"/>
      <c r="K928" s="72"/>
      <c r="L928" s="73"/>
      <c r="M928" s="73"/>
      <c r="N928" s="74"/>
      <c r="O928" s="75"/>
      <c r="P928" s="73"/>
      <c r="Q928" s="76"/>
      <c r="R928" s="76"/>
      <c r="S928" s="76"/>
      <c r="T928" s="76"/>
      <c r="U928" s="76"/>
      <c r="V928" s="76"/>
      <c r="W928" s="76"/>
      <c r="X928" s="76"/>
      <c r="Y928" s="76"/>
      <c r="Z928" s="77"/>
      <c r="AA928" s="77"/>
      <c r="AB928" s="77"/>
      <c r="AC928" s="77"/>
      <c r="AD928" s="77"/>
      <c r="AE928" s="77"/>
      <c r="AF928" s="77"/>
      <c r="AG928" s="77"/>
      <c r="AH928" s="78"/>
      <c r="AI928" s="78"/>
      <c r="AJ928" s="78"/>
      <c r="AK928" s="78"/>
      <c r="AL928" s="78"/>
      <c r="AM928" s="78"/>
      <c r="AN928" s="76"/>
      <c r="AO928" s="76"/>
      <c r="AP928" s="76"/>
      <c r="AQ928" s="76"/>
      <c r="AR928" s="76"/>
      <c r="AS928" s="76"/>
      <c r="AT928" s="76"/>
      <c r="AU928" s="76"/>
      <c r="AV928" s="76"/>
      <c r="AW928" s="79"/>
      <c r="AX928" s="79"/>
      <c r="AY928" s="79"/>
      <c r="AZ928" s="79"/>
      <c r="BA928" s="79"/>
      <c r="BB928" s="11"/>
      <c r="BC928" s="11"/>
      <c r="BD928" s="11"/>
      <c r="BE928" s="73"/>
      <c r="BF928" s="73"/>
      <c r="BG928" s="73"/>
      <c r="BH928" s="77"/>
      <c r="BI928" s="77"/>
      <c r="BJ928" s="77"/>
      <c r="BK928" s="77"/>
      <c r="BL928" s="77"/>
      <c r="BM928" s="77"/>
      <c r="BN928" s="158"/>
      <c r="BO928" s="158"/>
    </row>
    <row r="929" spans="1:67" ht="15" x14ac:dyDescent="0.25">
      <c r="A929" s="71"/>
      <c r="B929" s="11"/>
      <c r="C929" s="11"/>
      <c r="D929" s="11"/>
      <c r="E929" s="11"/>
      <c r="F929" s="11"/>
      <c r="G929" s="11"/>
      <c r="H929" s="11"/>
      <c r="I929" s="11"/>
      <c r="J929" s="249"/>
      <c r="K929" s="72"/>
      <c r="L929" s="73"/>
      <c r="M929" s="73"/>
      <c r="N929" s="74"/>
      <c r="O929" s="75"/>
      <c r="P929" s="73"/>
      <c r="Q929" s="76"/>
      <c r="R929" s="76"/>
      <c r="S929" s="76"/>
      <c r="T929" s="76"/>
      <c r="U929" s="76"/>
      <c r="V929" s="76"/>
      <c r="W929" s="76"/>
      <c r="X929" s="76"/>
      <c r="Y929" s="76"/>
      <c r="Z929" s="77"/>
      <c r="AA929" s="77"/>
      <c r="AB929" s="77"/>
      <c r="AC929" s="77"/>
      <c r="AD929" s="77"/>
      <c r="AE929" s="77"/>
      <c r="AF929" s="77"/>
      <c r="AG929" s="77"/>
      <c r="AH929" s="78"/>
      <c r="AI929" s="78"/>
      <c r="AJ929" s="78"/>
      <c r="AK929" s="78"/>
      <c r="AL929" s="78"/>
      <c r="AM929" s="78"/>
      <c r="AN929" s="76"/>
      <c r="AO929" s="76"/>
      <c r="AP929" s="76"/>
      <c r="AQ929" s="76"/>
      <c r="AR929" s="76"/>
      <c r="AS929" s="76"/>
      <c r="AT929" s="76"/>
      <c r="AU929" s="76"/>
      <c r="AV929" s="76"/>
      <c r="AW929" s="79"/>
      <c r="AX929" s="79"/>
      <c r="AY929" s="79"/>
      <c r="AZ929" s="79"/>
      <c r="BA929" s="79"/>
      <c r="BB929" s="11"/>
      <c r="BC929" s="11"/>
      <c r="BD929" s="11"/>
      <c r="BE929" s="73"/>
      <c r="BF929" s="73"/>
      <c r="BG929" s="73"/>
      <c r="BH929" s="77"/>
      <c r="BI929" s="77"/>
      <c r="BJ929" s="77"/>
      <c r="BK929" s="77"/>
      <c r="BL929" s="77"/>
      <c r="BM929" s="77"/>
      <c r="BN929" s="158"/>
      <c r="BO929" s="158"/>
    </row>
    <row r="930" spans="1:67" ht="15" x14ac:dyDescent="0.25">
      <c r="A930" s="71"/>
      <c r="B930" s="11"/>
      <c r="C930" s="11"/>
      <c r="D930" s="11"/>
      <c r="E930" s="11"/>
      <c r="F930" s="11"/>
      <c r="G930" s="11"/>
      <c r="H930" s="11"/>
      <c r="I930" s="11"/>
      <c r="J930" s="249"/>
      <c r="K930" s="72"/>
      <c r="L930" s="73"/>
      <c r="M930" s="73"/>
      <c r="N930" s="74"/>
      <c r="O930" s="75"/>
      <c r="P930" s="73"/>
      <c r="Q930" s="76"/>
      <c r="R930" s="76"/>
      <c r="S930" s="76"/>
      <c r="T930" s="76"/>
      <c r="U930" s="76"/>
      <c r="V930" s="76"/>
      <c r="W930" s="76"/>
      <c r="X930" s="76"/>
      <c r="Y930" s="76"/>
      <c r="Z930" s="77"/>
      <c r="AA930" s="77"/>
      <c r="AB930" s="77"/>
      <c r="AC930" s="77"/>
      <c r="AD930" s="77"/>
      <c r="AE930" s="77"/>
      <c r="AF930" s="77"/>
      <c r="AG930" s="77"/>
      <c r="AH930" s="78"/>
      <c r="AI930" s="78"/>
      <c r="AJ930" s="78"/>
      <c r="AK930" s="78"/>
      <c r="AL930" s="78"/>
      <c r="AM930" s="78"/>
      <c r="AN930" s="76"/>
      <c r="AO930" s="76"/>
      <c r="AP930" s="76"/>
      <c r="AQ930" s="76"/>
      <c r="AR930" s="76"/>
      <c r="AS930" s="76"/>
      <c r="AT930" s="76"/>
      <c r="AU930" s="76"/>
      <c r="AV930" s="76"/>
      <c r="AW930" s="79"/>
      <c r="AX930" s="79"/>
      <c r="AY930" s="79"/>
      <c r="AZ930" s="79"/>
      <c r="BA930" s="79"/>
      <c r="BB930" s="11"/>
      <c r="BC930" s="11"/>
      <c r="BD930" s="11"/>
      <c r="BE930" s="73"/>
      <c r="BF930" s="73"/>
      <c r="BG930" s="73"/>
      <c r="BH930" s="77"/>
      <c r="BI930" s="77"/>
      <c r="BJ930" s="77"/>
      <c r="BK930" s="77"/>
      <c r="BL930" s="77"/>
      <c r="BM930" s="77"/>
      <c r="BN930" s="158"/>
      <c r="BO930" s="158"/>
    </row>
    <row r="931" spans="1:67" ht="15" x14ac:dyDescent="0.25">
      <c r="A931" s="71"/>
      <c r="B931" s="11"/>
      <c r="C931" s="11"/>
      <c r="D931" s="11"/>
      <c r="E931" s="11"/>
      <c r="F931" s="11"/>
      <c r="G931" s="11"/>
      <c r="H931" s="11"/>
      <c r="I931" s="11"/>
      <c r="J931" s="249"/>
      <c r="K931" s="72"/>
      <c r="L931" s="73"/>
      <c r="M931" s="73"/>
      <c r="N931" s="74"/>
      <c r="O931" s="75"/>
      <c r="P931" s="73"/>
      <c r="Q931" s="76"/>
      <c r="R931" s="76"/>
      <c r="S931" s="76"/>
      <c r="T931" s="76"/>
      <c r="U931" s="76"/>
      <c r="V931" s="76"/>
      <c r="W931" s="76"/>
      <c r="X931" s="76"/>
      <c r="Y931" s="76"/>
      <c r="Z931" s="77"/>
      <c r="AA931" s="77"/>
      <c r="AB931" s="77"/>
      <c r="AC931" s="77"/>
      <c r="AD931" s="77"/>
      <c r="AE931" s="77"/>
      <c r="AF931" s="77"/>
      <c r="AG931" s="77"/>
      <c r="AH931" s="78"/>
      <c r="AI931" s="78"/>
      <c r="AJ931" s="78"/>
      <c r="AK931" s="78"/>
      <c r="AL931" s="78"/>
      <c r="AM931" s="78"/>
      <c r="AN931" s="76"/>
      <c r="AO931" s="76"/>
      <c r="AP931" s="76"/>
      <c r="AQ931" s="76"/>
      <c r="AR931" s="76"/>
      <c r="AS931" s="76"/>
      <c r="AT931" s="76"/>
      <c r="AU931" s="76"/>
      <c r="AV931" s="76"/>
      <c r="AW931" s="79"/>
      <c r="AX931" s="79"/>
      <c r="AY931" s="79"/>
      <c r="AZ931" s="79"/>
      <c r="BA931" s="79"/>
      <c r="BB931" s="11"/>
      <c r="BC931" s="11"/>
      <c r="BD931" s="11"/>
      <c r="BE931" s="73"/>
      <c r="BF931" s="73"/>
      <c r="BG931" s="73"/>
      <c r="BH931" s="77"/>
      <c r="BI931" s="77"/>
      <c r="BJ931" s="77"/>
      <c r="BK931" s="77"/>
      <c r="BL931" s="77"/>
      <c r="BM931" s="77"/>
      <c r="BN931" s="158"/>
      <c r="BO931" s="158"/>
    </row>
    <row r="932" spans="1:67" ht="15" x14ac:dyDescent="0.25">
      <c r="A932" s="71"/>
      <c r="B932" s="11"/>
      <c r="C932" s="11"/>
      <c r="D932" s="11"/>
      <c r="E932" s="11"/>
      <c r="F932" s="11"/>
      <c r="G932" s="11"/>
      <c r="H932" s="11"/>
      <c r="I932" s="11"/>
      <c r="J932" s="249"/>
      <c r="K932" s="72"/>
      <c r="L932" s="73"/>
      <c r="M932" s="73"/>
      <c r="N932" s="74"/>
      <c r="O932" s="75"/>
      <c r="P932" s="73"/>
      <c r="Q932" s="76"/>
      <c r="R932" s="76"/>
      <c r="S932" s="76"/>
      <c r="T932" s="76"/>
      <c r="U932" s="76"/>
      <c r="V932" s="76"/>
      <c r="W932" s="76"/>
      <c r="X932" s="76"/>
      <c r="Y932" s="76"/>
      <c r="Z932" s="77"/>
      <c r="AA932" s="77"/>
      <c r="AB932" s="77"/>
      <c r="AC932" s="77"/>
      <c r="AD932" s="77"/>
      <c r="AE932" s="77"/>
      <c r="AF932" s="77"/>
      <c r="AG932" s="77"/>
      <c r="AH932" s="78"/>
      <c r="AI932" s="78"/>
      <c r="AJ932" s="78"/>
      <c r="AK932" s="78"/>
      <c r="AL932" s="78"/>
      <c r="AM932" s="78"/>
      <c r="AN932" s="76"/>
      <c r="AO932" s="76"/>
      <c r="AP932" s="76"/>
      <c r="AQ932" s="76"/>
      <c r="AR932" s="76"/>
      <c r="AS932" s="76"/>
      <c r="AT932" s="76"/>
      <c r="AU932" s="76"/>
      <c r="AV932" s="76"/>
      <c r="AW932" s="79"/>
      <c r="AX932" s="79"/>
      <c r="AY932" s="79"/>
      <c r="AZ932" s="79"/>
      <c r="BA932" s="79"/>
      <c r="BB932" s="11"/>
      <c r="BC932" s="11"/>
      <c r="BD932" s="11"/>
      <c r="BE932" s="73"/>
      <c r="BF932" s="73"/>
      <c r="BG932" s="73"/>
      <c r="BH932" s="77"/>
      <c r="BI932" s="77"/>
      <c r="BJ932" s="77"/>
      <c r="BK932" s="77"/>
      <c r="BL932" s="77"/>
      <c r="BM932" s="77"/>
      <c r="BN932" s="158"/>
      <c r="BO932" s="158"/>
    </row>
    <row r="933" spans="1:67" ht="15" x14ac:dyDescent="0.25">
      <c r="A933" s="71"/>
      <c r="B933" s="11"/>
      <c r="C933" s="11"/>
      <c r="D933" s="11"/>
      <c r="E933" s="11"/>
      <c r="F933" s="11"/>
      <c r="G933" s="11"/>
      <c r="H933" s="11"/>
      <c r="I933" s="11"/>
      <c r="J933" s="249"/>
      <c r="K933" s="72"/>
      <c r="L933" s="73"/>
      <c r="M933" s="73"/>
      <c r="N933" s="74"/>
      <c r="O933" s="75"/>
      <c r="P933" s="73"/>
      <c r="Q933" s="76"/>
      <c r="R933" s="76"/>
      <c r="S933" s="76"/>
      <c r="T933" s="76"/>
      <c r="U933" s="76"/>
      <c r="V933" s="76"/>
      <c r="W933" s="76"/>
      <c r="X933" s="76"/>
      <c r="Y933" s="76"/>
      <c r="Z933" s="77"/>
      <c r="AA933" s="77"/>
      <c r="AB933" s="77"/>
      <c r="AC933" s="77"/>
      <c r="AD933" s="77"/>
      <c r="AE933" s="77"/>
      <c r="AF933" s="77"/>
      <c r="AG933" s="77"/>
      <c r="AH933" s="78"/>
      <c r="AI933" s="78"/>
      <c r="AJ933" s="78"/>
      <c r="AK933" s="78"/>
      <c r="AL933" s="78"/>
      <c r="AM933" s="78"/>
      <c r="AN933" s="76"/>
      <c r="AO933" s="76"/>
      <c r="AP933" s="76"/>
      <c r="AQ933" s="76"/>
      <c r="AR933" s="76"/>
      <c r="AS933" s="76"/>
      <c r="AT933" s="76"/>
      <c r="AU933" s="76"/>
      <c r="AV933" s="76"/>
      <c r="AW933" s="79"/>
      <c r="AX933" s="79"/>
      <c r="AY933" s="79"/>
      <c r="AZ933" s="79"/>
      <c r="BA933" s="79"/>
      <c r="BB933" s="11"/>
      <c r="BC933" s="11"/>
      <c r="BD933" s="11"/>
      <c r="BE933" s="73"/>
      <c r="BF933" s="73"/>
      <c r="BG933" s="73"/>
      <c r="BH933" s="77"/>
      <c r="BI933" s="77"/>
      <c r="BJ933" s="77"/>
      <c r="BK933" s="77"/>
      <c r="BL933" s="77"/>
      <c r="BM933" s="77"/>
      <c r="BN933" s="158"/>
      <c r="BO933" s="158"/>
    </row>
    <row r="934" spans="1:67" ht="15" x14ac:dyDescent="0.25">
      <c r="A934" s="71"/>
      <c r="B934" s="11"/>
      <c r="C934" s="11"/>
      <c r="D934" s="11"/>
      <c r="E934" s="11"/>
      <c r="F934" s="11"/>
      <c r="G934" s="11"/>
      <c r="H934" s="11"/>
      <c r="I934" s="11"/>
      <c r="J934" s="249"/>
      <c r="K934" s="72"/>
      <c r="L934" s="73"/>
      <c r="M934" s="73"/>
      <c r="N934" s="74"/>
      <c r="O934" s="75"/>
      <c r="P934" s="73"/>
      <c r="Q934" s="76"/>
      <c r="R934" s="76"/>
      <c r="S934" s="76"/>
      <c r="T934" s="76"/>
      <c r="U934" s="76"/>
      <c r="V934" s="76"/>
      <c r="W934" s="76"/>
      <c r="X934" s="76"/>
      <c r="Y934" s="76"/>
      <c r="Z934" s="77"/>
      <c r="AA934" s="77"/>
      <c r="AB934" s="77"/>
      <c r="AC934" s="77"/>
      <c r="AD934" s="77"/>
      <c r="AE934" s="77"/>
      <c r="AF934" s="77"/>
      <c r="AG934" s="77"/>
      <c r="AH934" s="78"/>
      <c r="AI934" s="78"/>
      <c r="AJ934" s="78"/>
      <c r="AK934" s="78"/>
      <c r="AL934" s="78"/>
      <c r="AM934" s="78"/>
      <c r="AN934" s="76"/>
      <c r="AO934" s="76"/>
      <c r="AP934" s="76"/>
      <c r="AQ934" s="76"/>
      <c r="AR934" s="76"/>
      <c r="AS934" s="76"/>
      <c r="AT934" s="76"/>
      <c r="AU934" s="76"/>
      <c r="AV934" s="76"/>
      <c r="AW934" s="79"/>
      <c r="AX934" s="79"/>
      <c r="AY934" s="79"/>
      <c r="AZ934" s="79"/>
      <c r="BA934" s="79"/>
      <c r="BB934" s="11"/>
      <c r="BC934" s="11"/>
      <c r="BD934" s="11"/>
      <c r="BE934" s="73"/>
      <c r="BF934" s="73"/>
      <c r="BG934" s="73"/>
      <c r="BH934" s="77"/>
      <c r="BI934" s="77"/>
      <c r="BJ934" s="77"/>
      <c r="BK934" s="77"/>
      <c r="BL934" s="77"/>
      <c r="BM934" s="77"/>
      <c r="BN934" s="158"/>
      <c r="BO934" s="158"/>
    </row>
    <row r="935" spans="1:67" ht="15" x14ac:dyDescent="0.25">
      <c r="A935" s="71"/>
      <c r="B935" s="11"/>
      <c r="C935" s="11"/>
      <c r="D935" s="11"/>
      <c r="E935" s="11"/>
      <c r="F935" s="11"/>
      <c r="G935" s="11"/>
      <c r="H935" s="11"/>
      <c r="I935" s="11"/>
      <c r="J935" s="249"/>
      <c r="K935" s="72"/>
      <c r="L935" s="73"/>
      <c r="M935" s="73"/>
      <c r="N935" s="74"/>
      <c r="O935" s="75"/>
      <c r="P935" s="73"/>
      <c r="Q935" s="76"/>
      <c r="R935" s="76"/>
      <c r="S935" s="76"/>
      <c r="T935" s="76"/>
      <c r="U935" s="76"/>
      <c r="V935" s="76"/>
      <c r="W935" s="76"/>
      <c r="X935" s="76"/>
      <c r="Y935" s="76"/>
      <c r="Z935" s="77"/>
      <c r="AA935" s="77"/>
      <c r="AB935" s="77"/>
      <c r="AC935" s="77"/>
      <c r="AD935" s="77"/>
      <c r="AE935" s="77"/>
      <c r="AF935" s="77"/>
      <c r="AG935" s="77"/>
      <c r="AH935" s="78"/>
      <c r="AI935" s="78"/>
      <c r="AJ935" s="78"/>
      <c r="AK935" s="78"/>
      <c r="AL935" s="78"/>
      <c r="AM935" s="78"/>
      <c r="AN935" s="76"/>
      <c r="AO935" s="76"/>
      <c r="AP935" s="76"/>
      <c r="AQ935" s="76"/>
      <c r="AR935" s="76"/>
      <c r="AS935" s="76"/>
      <c r="AT935" s="76"/>
      <c r="AU935" s="76"/>
      <c r="AV935" s="76"/>
      <c r="AW935" s="79"/>
      <c r="AX935" s="79"/>
      <c r="AY935" s="79"/>
      <c r="AZ935" s="79"/>
      <c r="BA935" s="79"/>
      <c r="BB935" s="11"/>
      <c r="BC935" s="11"/>
      <c r="BD935" s="11"/>
      <c r="BE935" s="73"/>
      <c r="BF935" s="73"/>
      <c r="BG935" s="73"/>
      <c r="BH935" s="77"/>
      <c r="BI935" s="77"/>
      <c r="BJ935" s="77"/>
      <c r="BK935" s="77"/>
      <c r="BL935" s="77"/>
      <c r="BM935" s="77"/>
      <c r="BN935" s="158"/>
      <c r="BO935" s="158"/>
    </row>
    <row r="936" spans="1:67" ht="15" x14ac:dyDescent="0.25">
      <c r="A936" s="71"/>
      <c r="B936" s="11"/>
      <c r="C936" s="11"/>
      <c r="D936" s="11"/>
      <c r="E936" s="11"/>
      <c r="F936" s="11"/>
      <c r="G936" s="11"/>
      <c r="H936" s="11"/>
      <c r="I936" s="11"/>
      <c r="J936" s="249"/>
      <c r="K936" s="72"/>
      <c r="L936" s="73"/>
      <c r="M936" s="73"/>
      <c r="N936" s="74"/>
      <c r="O936" s="75"/>
      <c r="P936" s="73"/>
      <c r="Q936" s="76"/>
      <c r="R936" s="76"/>
      <c r="S936" s="76"/>
      <c r="T936" s="76"/>
      <c r="U936" s="76"/>
      <c r="V936" s="76"/>
      <c r="W936" s="76"/>
      <c r="X936" s="76"/>
      <c r="Y936" s="76"/>
      <c r="Z936" s="77"/>
      <c r="AA936" s="77"/>
      <c r="AB936" s="77"/>
      <c r="AC936" s="77"/>
      <c r="AD936" s="77"/>
      <c r="AE936" s="77"/>
      <c r="AF936" s="77"/>
      <c r="AG936" s="77"/>
      <c r="AH936" s="78"/>
      <c r="AI936" s="78"/>
      <c r="AJ936" s="78"/>
      <c r="AK936" s="78"/>
      <c r="AL936" s="78"/>
      <c r="AM936" s="78"/>
      <c r="AN936" s="76"/>
      <c r="AO936" s="76"/>
      <c r="AP936" s="76"/>
      <c r="AQ936" s="76"/>
      <c r="AR936" s="76"/>
      <c r="AS936" s="76"/>
      <c r="AT936" s="76"/>
      <c r="AU936" s="76"/>
      <c r="AV936" s="76"/>
      <c r="AW936" s="79"/>
      <c r="AX936" s="79"/>
      <c r="AY936" s="79"/>
      <c r="AZ936" s="79"/>
      <c r="BA936" s="79"/>
      <c r="BB936" s="11"/>
      <c r="BC936" s="11"/>
      <c r="BD936" s="11"/>
      <c r="BE936" s="73"/>
      <c r="BF936" s="73"/>
      <c r="BG936" s="73"/>
      <c r="BH936" s="77"/>
      <c r="BI936" s="77"/>
      <c r="BJ936" s="77"/>
      <c r="BK936" s="77"/>
      <c r="BL936" s="77"/>
      <c r="BM936" s="77"/>
      <c r="BN936" s="158"/>
      <c r="BO936" s="158"/>
    </row>
    <row r="937" spans="1:67" ht="15" x14ac:dyDescent="0.25">
      <c r="A937" s="71"/>
      <c r="B937" s="11"/>
      <c r="C937" s="11"/>
      <c r="D937" s="11"/>
      <c r="E937" s="11"/>
      <c r="F937" s="11"/>
      <c r="G937" s="11"/>
      <c r="H937" s="11"/>
      <c r="I937" s="11"/>
      <c r="J937" s="249"/>
      <c r="K937" s="72"/>
      <c r="L937" s="73"/>
      <c r="M937" s="73"/>
      <c r="N937" s="74"/>
      <c r="O937" s="75"/>
      <c r="P937" s="73"/>
      <c r="Q937" s="76"/>
      <c r="R937" s="76"/>
      <c r="S937" s="76"/>
      <c r="T937" s="76"/>
      <c r="U937" s="76"/>
      <c r="V937" s="76"/>
      <c r="W937" s="76"/>
      <c r="X937" s="76"/>
      <c r="Y937" s="76"/>
      <c r="Z937" s="77"/>
      <c r="AA937" s="77"/>
      <c r="AB937" s="77"/>
      <c r="AC937" s="77"/>
      <c r="AD937" s="77"/>
      <c r="AE937" s="77"/>
      <c r="AF937" s="77"/>
      <c r="AG937" s="77"/>
      <c r="AH937" s="78"/>
      <c r="AI937" s="78"/>
      <c r="AJ937" s="78"/>
      <c r="AK937" s="78"/>
      <c r="AL937" s="78"/>
      <c r="AM937" s="78"/>
      <c r="AN937" s="76"/>
      <c r="AO937" s="76"/>
      <c r="AP937" s="76"/>
      <c r="AQ937" s="76"/>
      <c r="AR937" s="76"/>
      <c r="AS937" s="76"/>
      <c r="AT937" s="76"/>
      <c r="AU937" s="76"/>
      <c r="AV937" s="76"/>
      <c r="AW937" s="79"/>
      <c r="AX937" s="79"/>
      <c r="AY937" s="79"/>
      <c r="AZ937" s="79"/>
      <c r="BA937" s="79"/>
      <c r="BB937" s="11"/>
      <c r="BC937" s="11"/>
      <c r="BD937" s="11"/>
      <c r="BE937" s="73"/>
      <c r="BF937" s="73"/>
      <c r="BG937" s="73"/>
      <c r="BH937" s="77"/>
      <c r="BI937" s="77"/>
      <c r="BJ937" s="77"/>
      <c r="BK937" s="77"/>
      <c r="BL937" s="77"/>
      <c r="BM937" s="77"/>
      <c r="BN937" s="158"/>
      <c r="BO937" s="158"/>
    </row>
    <row r="938" spans="1:67" ht="15" x14ac:dyDescent="0.25">
      <c r="A938" s="71"/>
      <c r="B938" s="11"/>
      <c r="C938" s="11"/>
      <c r="D938" s="11"/>
      <c r="E938" s="11"/>
      <c r="F938" s="11"/>
      <c r="G938" s="11"/>
      <c r="H938" s="11"/>
      <c r="I938" s="11"/>
      <c r="J938" s="249"/>
      <c r="K938" s="72"/>
      <c r="L938" s="73"/>
      <c r="M938" s="73"/>
      <c r="N938" s="74"/>
      <c r="O938" s="75"/>
      <c r="P938" s="73"/>
      <c r="Q938" s="76"/>
      <c r="R938" s="76"/>
      <c r="S938" s="76"/>
      <c r="T938" s="76"/>
      <c r="U938" s="76"/>
      <c r="V938" s="76"/>
      <c r="W938" s="76"/>
      <c r="X938" s="76"/>
      <c r="Y938" s="76"/>
      <c r="Z938" s="77"/>
      <c r="AA938" s="77"/>
      <c r="AB938" s="77"/>
      <c r="AC938" s="77"/>
      <c r="AD938" s="77"/>
      <c r="AE938" s="77"/>
      <c r="AF938" s="77"/>
      <c r="AG938" s="77"/>
      <c r="AH938" s="78"/>
      <c r="AI938" s="78"/>
      <c r="AJ938" s="78"/>
      <c r="AK938" s="78"/>
      <c r="AL938" s="78"/>
      <c r="AM938" s="78"/>
      <c r="AN938" s="76"/>
      <c r="AO938" s="76"/>
      <c r="AP938" s="76"/>
      <c r="AQ938" s="76"/>
      <c r="AR938" s="76"/>
      <c r="AS938" s="76"/>
      <c r="AT938" s="76"/>
      <c r="AU938" s="76"/>
      <c r="AV938" s="76"/>
      <c r="AW938" s="79"/>
      <c r="AX938" s="79"/>
      <c r="AY938" s="79"/>
      <c r="AZ938" s="79"/>
      <c r="BA938" s="79"/>
      <c r="BB938" s="11"/>
      <c r="BC938" s="11"/>
      <c r="BD938" s="11"/>
      <c r="BE938" s="73"/>
      <c r="BF938" s="73"/>
      <c r="BG938" s="73"/>
      <c r="BH938" s="77"/>
      <c r="BI938" s="77"/>
      <c r="BJ938" s="77"/>
      <c r="BK938" s="77"/>
      <c r="BL938" s="77"/>
      <c r="BM938" s="77"/>
      <c r="BN938" s="158"/>
      <c r="BO938" s="158"/>
    </row>
    <row r="939" spans="1:67" ht="15" x14ac:dyDescent="0.25">
      <c r="A939" s="71"/>
      <c r="B939" s="11"/>
      <c r="C939" s="11"/>
      <c r="D939" s="11"/>
      <c r="E939" s="11"/>
      <c r="F939" s="11"/>
      <c r="G939" s="11"/>
      <c r="H939" s="11"/>
      <c r="I939" s="11"/>
      <c r="J939" s="249"/>
      <c r="K939" s="72"/>
      <c r="L939" s="73"/>
      <c r="M939" s="73"/>
      <c r="N939" s="74"/>
      <c r="O939" s="75"/>
      <c r="P939" s="73"/>
      <c r="Q939" s="76"/>
      <c r="R939" s="76"/>
      <c r="S939" s="76"/>
      <c r="T939" s="76"/>
      <c r="U939" s="76"/>
      <c r="V939" s="76"/>
      <c r="W939" s="76"/>
      <c r="X939" s="76"/>
      <c r="Y939" s="76"/>
      <c r="Z939" s="77"/>
      <c r="AA939" s="77"/>
      <c r="AB939" s="77"/>
      <c r="AC939" s="77"/>
      <c r="AD939" s="77"/>
      <c r="AE939" s="77"/>
      <c r="AF939" s="77"/>
      <c r="AG939" s="77"/>
      <c r="AH939" s="78"/>
      <c r="AI939" s="78"/>
      <c r="AJ939" s="78"/>
      <c r="AK939" s="78"/>
      <c r="AL939" s="78"/>
      <c r="AM939" s="78"/>
      <c r="AN939" s="76"/>
      <c r="AO939" s="76"/>
      <c r="AP939" s="76"/>
      <c r="AQ939" s="76"/>
      <c r="AR939" s="76"/>
      <c r="AS939" s="76"/>
      <c r="AT939" s="76"/>
      <c r="AU939" s="76"/>
      <c r="AV939" s="76"/>
      <c r="AW939" s="79"/>
      <c r="AX939" s="79"/>
      <c r="AY939" s="79"/>
      <c r="AZ939" s="79"/>
      <c r="BA939" s="79"/>
      <c r="BB939" s="11"/>
      <c r="BC939" s="11"/>
      <c r="BD939" s="11"/>
      <c r="BE939" s="73"/>
      <c r="BF939" s="73"/>
      <c r="BG939" s="73"/>
      <c r="BH939" s="77"/>
      <c r="BI939" s="77"/>
      <c r="BJ939" s="77"/>
      <c r="BK939" s="77"/>
      <c r="BL939" s="77"/>
      <c r="BM939" s="77"/>
      <c r="BN939" s="158"/>
      <c r="BO939" s="158"/>
    </row>
    <row r="940" spans="1:67" ht="15" x14ac:dyDescent="0.25">
      <c r="A940" s="71"/>
      <c r="B940" s="11"/>
      <c r="C940" s="11"/>
      <c r="D940" s="11"/>
      <c r="E940" s="11"/>
      <c r="F940" s="11"/>
      <c r="G940" s="11"/>
      <c r="H940" s="11"/>
      <c r="I940" s="11"/>
      <c r="J940" s="249"/>
      <c r="K940" s="72"/>
      <c r="L940" s="73"/>
      <c r="M940" s="73"/>
      <c r="N940" s="74"/>
      <c r="O940" s="75"/>
      <c r="P940" s="73"/>
      <c r="Q940" s="76"/>
      <c r="R940" s="76"/>
      <c r="S940" s="76"/>
      <c r="T940" s="76"/>
      <c r="U940" s="76"/>
      <c r="V940" s="76"/>
      <c r="W940" s="76"/>
      <c r="X940" s="76"/>
      <c r="Y940" s="76"/>
      <c r="Z940" s="77"/>
      <c r="AA940" s="77"/>
      <c r="AB940" s="77"/>
      <c r="AC940" s="77"/>
      <c r="AD940" s="77"/>
      <c r="AE940" s="77"/>
      <c r="AF940" s="77"/>
      <c r="AG940" s="77"/>
      <c r="AH940" s="78"/>
      <c r="AI940" s="78"/>
      <c r="AJ940" s="78"/>
      <c r="AK940" s="78"/>
      <c r="AL940" s="78"/>
      <c r="AM940" s="78"/>
      <c r="AN940" s="76"/>
      <c r="AO940" s="76"/>
      <c r="AP940" s="76"/>
      <c r="AQ940" s="76"/>
      <c r="AR940" s="76"/>
      <c r="AS940" s="76"/>
      <c r="AT940" s="76"/>
      <c r="AU940" s="76"/>
      <c r="AV940" s="76"/>
      <c r="AW940" s="79"/>
      <c r="AX940" s="79"/>
      <c r="AY940" s="79"/>
      <c r="AZ940" s="79"/>
      <c r="BA940" s="79"/>
      <c r="BB940" s="11"/>
      <c r="BC940" s="11"/>
      <c r="BD940" s="11"/>
      <c r="BE940" s="73"/>
      <c r="BF940" s="73"/>
      <c r="BG940" s="73"/>
      <c r="BH940" s="77"/>
      <c r="BI940" s="77"/>
      <c r="BJ940" s="77"/>
      <c r="BK940" s="77"/>
      <c r="BL940" s="77"/>
      <c r="BM940" s="77"/>
      <c r="BN940" s="158"/>
      <c r="BO940" s="158"/>
    </row>
    <row r="941" spans="1:67" ht="15" x14ac:dyDescent="0.25">
      <c r="A941" s="71"/>
      <c r="B941" s="11"/>
      <c r="C941" s="11"/>
      <c r="D941" s="11"/>
      <c r="E941" s="11"/>
      <c r="F941" s="11"/>
      <c r="G941" s="11"/>
      <c r="H941" s="11"/>
      <c r="I941" s="11"/>
      <c r="J941" s="249"/>
      <c r="K941" s="72"/>
      <c r="L941" s="73"/>
      <c r="M941" s="73"/>
      <c r="N941" s="74"/>
      <c r="O941" s="75"/>
      <c r="P941" s="73"/>
      <c r="Q941" s="76"/>
      <c r="R941" s="76"/>
      <c r="S941" s="76"/>
      <c r="T941" s="76"/>
      <c r="U941" s="76"/>
      <c r="V941" s="76"/>
      <c r="W941" s="76"/>
      <c r="X941" s="76"/>
      <c r="Y941" s="76"/>
      <c r="Z941" s="77"/>
      <c r="AA941" s="77"/>
      <c r="AB941" s="77"/>
      <c r="AC941" s="77"/>
      <c r="AD941" s="77"/>
      <c r="AE941" s="77"/>
      <c r="AF941" s="77"/>
      <c r="AG941" s="77"/>
      <c r="AH941" s="78"/>
      <c r="AI941" s="78"/>
      <c r="AJ941" s="78"/>
      <c r="AK941" s="78"/>
      <c r="AL941" s="78"/>
      <c r="AM941" s="78"/>
      <c r="AN941" s="76"/>
      <c r="AO941" s="76"/>
      <c r="AP941" s="76"/>
      <c r="AQ941" s="76"/>
      <c r="AR941" s="76"/>
      <c r="AS941" s="76"/>
      <c r="AT941" s="76"/>
      <c r="AU941" s="76"/>
      <c r="AV941" s="76"/>
      <c r="AW941" s="79"/>
      <c r="AX941" s="79"/>
      <c r="AY941" s="79"/>
      <c r="AZ941" s="79"/>
      <c r="BA941" s="79"/>
      <c r="BB941" s="11"/>
      <c r="BC941" s="11"/>
      <c r="BD941" s="11"/>
      <c r="BE941" s="73"/>
      <c r="BF941" s="73"/>
      <c r="BG941" s="73"/>
      <c r="BH941" s="77"/>
      <c r="BI941" s="77"/>
      <c r="BJ941" s="77"/>
      <c r="BK941" s="77"/>
      <c r="BL941" s="77"/>
      <c r="BM941" s="77"/>
      <c r="BN941" s="158"/>
      <c r="BO941" s="158"/>
    </row>
    <row r="942" spans="1:67" ht="15" x14ac:dyDescent="0.25">
      <c r="A942" s="71"/>
      <c r="B942" s="11"/>
      <c r="C942" s="11"/>
      <c r="D942" s="11"/>
      <c r="E942" s="11"/>
      <c r="F942" s="11"/>
      <c r="G942" s="11"/>
      <c r="H942" s="11"/>
      <c r="I942" s="11"/>
      <c r="J942" s="249"/>
      <c r="K942" s="72"/>
      <c r="L942" s="73"/>
      <c r="M942" s="73"/>
      <c r="N942" s="74"/>
      <c r="O942" s="75"/>
      <c r="P942" s="73"/>
      <c r="Q942" s="76"/>
      <c r="R942" s="76"/>
      <c r="S942" s="76"/>
      <c r="T942" s="76"/>
      <c r="U942" s="76"/>
      <c r="V942" s="76"/>
      <c r="W942" s="76"/>
      <c r="X942" s="76"/>
      <c r="Y942" s="76"/>
      <c r="Z942" s="77"/>
      <c r="AA942" s="77"/>
      <c r="AB942" s="77"/>
      <c r="AC942" s="77"/>
      <c r="AD942" s="77"/>
      <c r="AE942" s="77"/>
      <c r="AF942" s="77"/>
      <c r="AG942" s="77"/>
      <c r="AH942" s="78"/>
      <c r="AI942" s="78"/>
      <c r="AJ942" s="78"/>
      <c r="AK942" s="78"/>
      <c r="AL942" s="78"/>
      <c r="AM942" s="78"/>
      <c r="AN942" s="76"/>
      <c r="AO942" s="76"/>
      <c r="AP942" s="76"/>
      <c r="AQ942" s="76"/>
      <c r="AR942" s="76"/>
      <c r="AS942" s="76"/>
      <c r="AT942" s="76"/>
      <c r="AU942" s="76"/>
      <c r="AV942" s="76"/>
      <c r="AW942" s="79"/>
      <c r="AX942" s="79"/>
      <c r="AY942" s="79"/>
      <c r="AZ942" s="79"/>
      <c r="BA942" s="79"/>
      <c r="BB942" s="11"/>
      <c r="BC942" s="11"/>
      <c r="BD942" s="11"/>
      <c r="BE942" s="73"/>
      <c r="BF942" s="73"/>
      <c r="BG942" s="73"/>
      <c r="BH942" s="77"/>
      <c r="BI942" s="77"/>
      <c r="BJ942" s="77"/>
      <c r="BK942" s="77"/>
      <c r="BL942" s="77"/>
      <c r="BM942" s="77"/>
      <c r="BN942" s="158"/>
      <c r="BO942" s="158"/>
    </row>
    <row r="943" spans="1:67" ht="15" x14ac:dyDescent="0.25">
      <c r="A943" s="71"/>
      <c r="B943" s="11"/>
      <c r="C943" s="11"/>
      <c r="D943" s="11"/>
      <c r="E943" s="11"/>
      <c r="F943" s="11"/>
      <c r="G943" s="11"/>
      <c r="H943" s="11"/>
      <c r="I943" s="11"/>
      <c r="J943" s="249"/>
      <c r="K943" s="72"/>
      <c r="L943" s="73"/>
      <c r="M943" s="73"/>
      <c r="N943" s="74"/>
      <c r="O943" s="75"/>
      <c r="P943" s="73"/>
      <c r="Q943" s="76"/>
      <c r="R943" s="76"/>
      <c r="S943" s="76"/>
      <c r="T943" s="76"/>
      <c r="U943" s="76"/>
      <c r="V943" s="76"/>
      <c r="W943" s="76"/>
      <c r="X943" s="76"/>
      <c r="Y943" s="76"/>
      <c r="Z943" s="77"/>
      <c r="AA943" s="77"/>
      <c r="AB943" s="77"/>
      <c r="AC943" s="77"/>
      <c r="AD943" s="77"/>
      <c r="AE943" s="77"/>
      <c r="AF943" s="77"/>
      <c r="AG943" s="77"/>
      <c r="AH943" s="78"/>
      <c r="AI943" s="78"/>
      <c r="AJ943" s="78"/>
      <c r="AK943" s="78"/>
      <c r="AL943" s="78"/>
      <c r="AM943" s="78"/>
      <c r="AN943" s="76"/>
      <c r="AO943" s="76"/>
      <c r="AP943" s="76"/>
      <c r="AQ943" s="76"/>
      <c r="AR943" s="76"/>
      <c r="AS943" s="76"/>
      <c r="AT943" s="76"/>
      <c r="AU943" s="76"/>
      <c r="AV943" s="76"/>
      <c r="AW943" s="79"/>
      <c r="AX943" s="79"/>
      <c r="AY943" s="79"/>
      <c r="AZ943" s="79"/>
      <c r="BA943" s="79"/>
      <c r="BB943" s="11"/>
      <c r="BC943" s="11"/>
      <c r="BD943" s="11"/>
      <c r="BE943" s="73"/>
      <c r="BF943" s="73"/>
      <c r="BG943" s="73"/>
      <c r="BH943" s="77"/>
      <c r="BI943" s="77"/>
      <c r="BJ943" s="77"/>
      <c r="BK943" s="77"/>
      <c r="BL943" s="77"/>
      <c r="BM943" s="77"/>
      <c r="BN943" s="158"/>
      <c r="BO943" s="158"/>
    </row>
    <row r="944" spans="1:67" ht="15" x14ac:dyDescent="0.25">
      <c r="A944" s="71"/>
      <c r="B944" s="11"/>
      <c r="C944" s="11"/>
      <c r="D944" s="11"/>
      <c r="E944" s="11"/>
      <c r="F944" s="11"/>
      <c r="G944" s="11"/>
      <c r="H944" s="11"/>
      <c r="I944" s="11"/>
      <c r="J944" s="249"/>
      <c r="K944" s="72"/>
      <c r="L944" s="73"/>
      <c r="M944" s="73"/>
      <c r="N944" s="74"/>
      <c r="O944" s="75"/>
      <c r="P944" s="73"/>
      <c r="Q944" s="76"/>
      <c r="R944" s="76"/>
      <c r="S944" s="76"/>
      <c r="T944" s="76"/>
      <c r="U944" s="76"/>
      <c r="V944" s="76"/>
      <c r="W944" s="76"/>
      <c r="X944" s="76"/>
      <c r="Y944" s="76"/>
      <c r="Z944" s="77"/>
      <c r="AA944" s="77"/>
      <c r="AB944" s="77"/>
      <c r="AC944" s="77"/>
      <c r="AD944" s="77"/>
      <c r="AE944" s="77"/>
      <c r="AF944" s="77"/>
      <c r="AG944" s="77"/>
      <c r="AH944" s="78"/>
      <c r="AI944" s="78"/>
      <c r="AJ944" s="78"/>
      <c r="AK944" s="78"/>
      <c r="AL944" s="78"/>
      <c r="AM944" s="78"/>
      <c r="AN944" s="76"/>
      <c r="AO944" s="76"/>
      <c r="AP944" s="76"/>
      <c r="AQ944" s="76"/>
      <c r="AR944" s="76"/>
      <c r="AS944" s="76"/>
      <c r="AT944" s="76"/>
      <c r="AU944" s="76"/>
      <c r="AV944" s="76"/>
      <c r="AW944" s="79"/>
      <c r="AX944" s="79"/>
      <c r="AY944" s="79"/>
      <c r="AZ944" s="79"/>
      <c r="BA944" s="79"/>
      <c r="BB944" s="11"/>
      <c r="BC944" s="11"/>
      <c r="BD944" s="11"/>
      <c r="BE944" s="73"/>
      <c r="BF944" s="73"/>
      <c r="BG944" s="73"/>
      <c r="BH944" s="77"/>
      <c r="BI944" s="77"/>
      <c r="BJ944" s="77"/>
      <c r="BK944" s="77"/>
      <c r="BL944" s="77"/>
      <c r="BM944" s="77"/>
      <c r="BN944" s="158"/>
      <c r="BO944" s="158"/>
    </row>
    <row r="945" spans="1:67" ht="15" x14ac:dyDescent="0.25">
      <c r="A945" s="71"/>
      <c r="B945" s="11"/>
      <c r="C945" s="11"/>
      <c r="D945" s="11"/>
      <c r="E945" s="11"/>
      <c r="F945" s="11"/>
      <c r="G945" s="11"/>
      <c r="H945" s="11"/>
      <c r="I945" s="11"/>
      <c r="J945" s="249"/>
      <c r="K945" s="72"/>
      <c r="L945" s="73"/>
      <c r="M945" s="73"/>
      <c r="N945" s="74"/>
      <c r="O945" s="75"/>
      <c r="P945" s="73"/>
      <c r="Q945" s="76"/>
      <c r="R945" s="76"/>
      <c r="S945" s="76"/>
      <c r="T945" s="76"/>
      <c r="U945" s="76"/>
      <c r="V945" s="76"/>
      <c r="W945" s="76"/>
      <c r="X945" s="76"/>
      <c r="Y945" s="76"/>
      <c r="Z945" s="77"/>
      <c r="AA945" s="77"/>
      <c r="AB945" s="77"/>
      <c r="AC945" s="77"/>
      <c r="AD945" s="77"/>
      <c r="AE945" s="77"/>
      <c r="AF945" s="77"/>
      <c r="AG945" s="77"/>
      <c r="AH945" s="78"/>
      <c r="AI945" s="78"/>
      <c r="AJ945" s="78"/>
      <c r="AK945" s="78"/>
      <c r="AL945" s="78"/>
      <c r="AM945" s="78"/>
      <c r="AN945" s="76"/>
      <c r="AO945" s="76"/>
      <c r="AP945" s="76"/>
      <c r="AQ945" s="76"/>
      <c r="AR945" s="76"/>
      <c r="AS945" s="76"/>
      <c r="AT945" s="76"/>
      <c r="AU945" s="76"/>
      <c r="AV945" s="76"/>
      <c r="AW945" s="79"/>
      <c r="AX945" s="79"/>
      <c r="AY945" s="79"/>
      <c r="AZ945" s="79"/>
      <c r="BA945" s="79"/>
      <c r="BB945" s="11"/>
      <c r="BC945" s="11"/>
      <c r="BD945" s="11"/>
      <c r="BE945" s="73"/>
      <c r="BF945" s="73"/>
      <c r="BG945" s="73"/>
      <c r="BH945" s="77"/>
      <c r="BI945" s="77"/>
      <c r="BJ945" s="77"/>
      <c r="BK945" s="77"/>
      <c r="BL945" s="77"/>
      <c r="BM945" s="77"/>
      <c r="BN945" s="158"/>
      <c r="BO945" s="158"/>
    </row>
    <row r="946" spans="1:67" ht="15" x14ac:dyDescent="0.25">
      <c r="A946" s="71"/>
      <c r="B946" s="11"/>
      <c r="C946" s="11"/>
      <c r="D946" s="11"/>
      <c r="E946" s="11"/>
      <c r="F946" s="11"/>
      <c r="G946" s="11"/>
      <c r="H946" s="11"/>
      <c r="I946" s="11"/>
      <c r="J946" s="249"/>
      <c r="K946" s="72"/>
      <c r="L946" s="73"/>
      <c r="M946" s="73"/>
      <c r="N946" s="74"/>
      <c r="O946" s="75"/>
      <c r="P946" s="73"/>
      <c r="Q946" s="76"/>
      <c r="R946" s="76"/>
      <c r="S946" s="76"/>
      <c r="T946" s="76"/>
      <c r="U946" s="76"/>
      <c r="V946" s="76"/>
      <c r="W946" s="76"/>
      <c r="X946" s="76"/>
      <c r="Y946" s="76"/>
      <c r="Z946" s="77"/>
      <c r="AA946" s="77"/>
      <c r="AB946" s="77"/>
      <c r="AC946" s="77"/>
      <c r="AD946" s="77"/>
      <c r="AE946" s="77"/>
      <c r="AF946" s="77"/>
      <c r="AG946" s="77"/>
      <c r="AH946" s="78"/>
      <c r="AI946" s="78"/>
      <c r="AJ946" s="78"/>
      <c r="AK946" s="78"/>
      <c r="AL946" s="78"/>
      <c r="AM946" s="78"/>
      <c r="AN946" s="76"/>
      <c r="AO946" s="76"/>
      <c r="AP946" s="76"/>
      <c r="AQ946" s="76"/>
      <c r="AR946" s="76"/>
      <c r="AS946" s="76"/>
      <c r="AT946" s="76"/>
      <c r="AU946" s="76"/>
      <c r="AV946" s="76"/>
      <c r="AW946" s="79"/>
      <c r="AX946" s="79"/>
      <c r="AY946" s="79"/>
      <c r="AZ946" s="79"/>
      <c r="BA946" s="79"/>
      <c r="BB946" s="11"/>
      <c r="BC946" s="11"/>
      <c r="BD946" s="11"/>
      <c r="BE946" s="73"/>
      <c r="BF946" s="73"/>
      <c r="BG946" s="73"/>
      <c r="BH946" s="77"/>
      <c r="BI946" s="77"/>
      <c r="BJ946" s="77"/>
      <c r="BK946" s="77"/>
      <c r="BL946" s="77"/>
      <c r="BM946" s="77"/>
      <c r="BN946" s="158"/>
      <c r="BO946" s="158"/>
    </row>
    <row r="947" spans="1:67" ht="15" x14ac:dyDescent="0.25">
      <c r="A947" s="71"/>
      <c r="B947" s="11"/>
      <c r="C947" s="11"/>
      <c r="D947" s="11"/>
      <c r="E947" s="11"/>
      <c r="F947" s="11"/>
      <c r="G947" s="11"/>
      <c r="H947" s="11"/>
      <c r="I947" s="11"/>
      <c r="J947" s="249"/>
      <c r="K947" s="72"/>
      <c r="L947" s="73"/>
      <c r="M947" s="73"/>
      <c r="N947" s="74"/>
      <c r="O947" s="75"/>
      <c r="P947" s="73"/>
      <c r="Q947" s="76"/>
      <c r="R947" s="76"/>
      <c r="S947" s="76"/>
      <c r="T947" s="76"/>
      <c r="U947" s="76"/>
      <c r="V947" s="76"/>
      <c r="W947" s="76"/>
      <c r="X947" s="76"/>
      <c r="Y947" s="76"/>
      <c r="Z947" s="77"/>
      <c r="AA947" s="77"/>
      <c r="AB947" s="77"/>
      <c r="AC947" s="77"/>
      <c r="AD947" s="77"/>
      <c r="AE947" s="77"/>
      <c r="AF947" s="77"/>
      <c r="AG947" s="77"/>
      <c r="AH947" s="78"/>
      <c r="AI947" s="78"/>
      <c r="AJ947" s="78"/>
      <c r="AK947" s="78"/>
      <c r="AL947" s="78"/>
      <c r="AM947" s="78"/>
      <c r="AN947" s="76"/>
      <c r="AO947" s="76"/>
      <c r="AP947" s="76"/>
      <c r="AQ947" s="76"/>
      <c r="AR947" s="76"/>
      <c r="AS947" s="76"/>
      <c r="AT947" s="76"/>
      <c r="AU947" s="76"/>
      <c r="AV947" s="76"/>
      <c r="AW947" s="79"/>
      <c r="AX947" s="79"/>
      <c r="AY947" s="79"/>
      <c r="AZ947" s="79"/>
      <c r="BA947" s="79"/>
      <c r="BB947" s="11"/>
      <c r="BC947" s="11"/>
      <c r="BD947" s="11"/>
      <c r="BE947" s="73"/>
      <c r="BF947" s="73"/>
      <c r="BG947" s="73"/>
      <c r="BH947" s="77"/>
      <c r="BI947" s="77"/>
      <c r="BJ947" s="77"/>
      <c r="BK947" s="77"/>
      <c r="BL947" s="77"/>
      <c r="BM947" s="77"/>
      <c r="BN947" s="158"/>
      <c r="BO947" s="158"/>
    </row>
    <row r="948" spans="1:67" ht="15" x14ac:dyDescent="0.25">
      <c r="A948" s="71"/>
      <c r="B948" s="11"/>
      <c r="C948" s="11"/>
      <c r="D948" s="11"/>
      <c r="E948" s="11"/>
      <c r="F948" s="11"/>
      <c r="G948" s="11"/>
      <c r="H948" s="11"/>
      <c r="I948" s="11"/>
      <c r="J948" s="249"/>
      <c r="K948" s="72"/>
      <c r="L948" s="73"/>
      <c r="M948" s="73"/>
      <c r="N948" s="74"/>
      <c r="O948" s="75"/>
      <c r="P948" s="73"/>
      <c r="Q948" s="76"/>
      <c r="R948" s="76"/>
      <c r="S948" s="76"/>
      <c r="T948" s="76"/>
      <c r="U948" s="76"/>
      <c r="V948" s="76"/>
      <c r="W948" s="76"/>
      <c r="X948" s="76"/>
      <c r="Y948" s="76"/>
      <c r="Z948" s="77"/>
      <c r="AA948" s="77"/>
      <c r="AB948" s="77"/>
      <c r="AC948" s="77"/>
      <c r="AD948" s="77"/>
      <c r="AE948" s="77"/>
      <c r="AF948" s="77"/>
      <c r="AG948" s="77"/>
      <c r="AH948" s="78"/>
      <c r="AI948" s="78"/>
      <c r="AJ948" s="78"/>
      <c r="AK948" s="78"/>
      <c r="AL948" s="78"/>
      <c r="AM948" s="78"/>
      <c r="AN948" s="76"/>
      <c r="AO948" s="76"/>
      <c r="AP948" s="76"/>
      <c r="AQ948" s="76"/>
      <c r="AR948" s="76"/>
      <c r="AS948" s="76"/>
      <c r="AT948" s="76"/>
      <c r="AU948" s="76"/>
      <c r="AV948" s="76"/>
      <c r="AW948" s="79"/>
      <c r="AX948" s="79"/>
      <c r="AY948" s="79"/>
      <c r="AZ948" s="79"/>
      <c r="BA948" s="79"/>
      <c r="BB948" s="11"/>
      <c r="BC948" s="11"/>
      <c r="BD948" s="11"/>
      <c r="BE948" s="73"/>
      <c r="BF948" s="73"/>
      <c r="BG948" s="73"/>
      <c r="BH948" s="77"/>
      <c r="BI948" s="77"/>
      <c r="BJ948" s="77"/>
      <c r="BK948" s="77"/>
      <c r="BL948" s="77"/>
      <c r="BM948" s="77"/>
      <c r="BN948" s="158"/>
      <c r="BO948" s="158"/>
    </row>
    <row r="949" spans="1:67" ht="15" x14ac:dyDescent="0.25">
      <c r="A949" s="71"/>
      <c r="B949" s="11"/>
      <c r="C949" s="11"/>
      <c r="D949" s="11"/>
      <c r="E949" s="11"/>
      <c r="F949" s="11"/>
      <c r="G949" s="11"/>
      <c r="H949" s="11"/>
      <c r="I949" s="11"/>
      <c r="J949" s="249"/>
      <c r="K949" s="72"/>
      <c r="L949" s="73"/>
      <c r="M949" s="73"/>
      <c r="N949" s="74"/>
      <c r="O949" s="75"/>
      <c r="P949" s="73"/>
      <c r="Q949" s="76"/>
      <c r="R949" s="76"/>
      <c r="S949" s="76"/>
      <c r="T949" s="76"/>
      <c r="U949" s="76"/>
      <c r="V949" s="76"/>
      <c r="W949" s="76"/>
      <c r="X949" s="76"/>
      <c r="Y949" s="76"/>
      <c r="Z949" s="77"/>
      <c r="AA949" s="77"/>
      <c r="AB949" s="77"/>
      <c r="AC949" s="77"/>
      <c r="AD949" s="77"/>
      <c r="AE949" s="77"/>
      <c r="AF949" s="77"/>
      <c r="AG949" s="77"/>
      <c r="AH949" s="78"/>
      <c r="AI949" s="78"/>
      <c r="AJ949" s="78"/>
      <c r="AK949" s="78"/>
      <c r="AL949" s="78"/>
      <c r="AM949" s="78"/>
      <c r="AN949" s="76"/>
      <c r="AO949" s="76"/>
      <c r="AP949" s="76"/>
      <c r="AQ949" s="76"/>
      <c r="AR949" s="76"/>
      <c r="AS949" s="76"/>
      <c r="AT949" s="76"/>
      <c r="AU949" s="76"/>
      <c r="AV949" s="76"/>
      <c r="AW949" s="79"/>
      <c r="AX949" s="79"/>
      <c r="AY949" s="79"/>
      <c r="AZ949" s="79"/>
      <c r="BA949" s="79"/>
      <c r="BB949" s="11"/>
      <c r="BC949" s="11"/>
      <c r="BD949" s="11"/>
      <c r="BE949" s="73"/>
      <c r="BF949" s="73"/>
      <c r="BG949" s="73"/>
      <c r="BH949" s="77"/>
      <c r="BI949" s="77"/>
      <c r="BJ949" s="77"/>
      <c r="BK949" s="77"/>
      <c r="BL949" s="77"/>
      <c r="BM949" s="77"/>
      <c r="BN949" s="158"/>
      <c r="BO949" s="158"/>
    </row>
    <row r="950" spans="1:67" ht="15" x14ac:dyDescent="0.25">
      <c r="A950" s="71"/>
      <c r="B950" s="11"/>
      <c r="C950" s="11"/>
      <c r="D950" s="11"/>
      <c r="E950" s="11"/>
      <c r="F950" s="11"/>
      <c r="G950" s="11"/>
      <c r="H950" s="11"/>
      <c r="I950" s="11"/>
      <c r="J950" s="249"/>
      <c r="K950" s="72"/>
      <c r="L950" s="73"/>
      <c r="M950" s="73"/>
      <c r="N950" s="74"/>
      <c r="O950" s="75"/>
      <c r="P950" s="73"/>
      <c r="Q950" s="76"/>
      <c r="R950" s="76"/>
      <c r="S950" s="76"/>
      <c r="T950" s="76"/>
      <c r="U950" s="76"/>
      <c r="V950" s="76"/>
      <c r="W950" s="76"/>
      <c r="X950" s="76"/>
      <c r="Y950" s="76"/>
      <c r="Z950" s="77"/>
      <c r="AA950" s="77"/>
      <c r="AB950" s="77"/>
      <c r="AC950" s="77"/>
      <c r="AD950" s="77"/>
      <c r="AE950" s="77"/>
      <c r="AF950" s="77"/>
      <c r="AG950" s="77"/>
      <c r="AH950" s="78"/>
      <c r="AI950" s="78"/>
      <c r="AJ950" s="78"/>
      <c r="AK950" s="78"/>
      <c r="AL950" s="78"/>
      <c r="AM950" s="78"/>
      <c r="AN950" s="76"/>
      <c r="AO950" s="76"/>
      <c r="AP950" s="76"/>
      <c r="AQ950" s="76"/>
      <c r="AR950" s="76"/>
      <c r="AS950" s="76"/>
      <c r="AT950" s="76"/>
      <c r="AU950" s="76"/>
      <c r="AV950" s="76"/>
      <c r="AW950" s="79"/>
      <c r="AX950" s="79"/>
      <c r="AY950" s="79"/>
      <c r="AZ950" s="79"/>
      <c r="BA950" s="79"/>
      <c r="BB950" s="11"/>
      <c r="BC950" s="11"/>
      <c r="BD950" s="11"/>
      <c r="BE950" s="73"/>
      <c r="BF950" s="73"/>
      <c r="BG950" s="73"/>
      <c r="BH950" s="77"/>
      <c r="BI950" s="77"/>
      <c r="BJ950" s="77"/>
      <c r="BK950" s="77"/>
      <c r="BL950" s="77"/>
      <c r="BM950" s="77"/>
      <c r="BN950" s="158"/>
      <c r="BO950" s="158"/>
    </row>
    <row r="951" spans="1:67" ht="15" x14ac:dyDescent="0.25">
      <c r="A951" s="71"/>
      <c r="B951" s="11"/>
      <c r="C951" s="11"/>
      <c r="D951" s="11"/>
      <c r="E951" s="11"/>
      <c r="F951" s="11"/>
      <c r="G951" s="11"/>
      <c r="H951" s="11"/>
      <c r="I951" s="11"/>
      <c r="J951" s="249"/>
      <c r="K951" s="72"/>
      <c r="L951" s="73"/>
      <c r="M951" s="73"/>
      <c r="N951" s="74"/>
      <c r="O951" s="75"/>
      <c r="P951" s="73"/>
      <c r="Q951" s="76"/>
      <c r="R951" s="76"/>
      <c r="S951" s="76"/>
      <c r="T951" s="76"/>
      <c r="U951" s="76"/>
      <c r="V951" s="76"/>
      <c r="W951" s="76"/>
      <c r="X951" s="76"/>
      <c r="Y951" s="76"/>
      <c r="Z951" s="77"/>
      <c r="AA951" s="77"/>
      <c r="AB951" s="77"/>
      <c r="AC951" s="77"/>
      <c r="AD951" s="77"/>
      <c r="AE951" s="77"/>
      <c r="AF951" s="77"/>
      <c r="AG951" s="77"/>
      <c r="AH951" s="78"/>
      <c r="AI951" s="78"/>
      <c r="AJ951" s="78"/>
      <c r="AK951" s="78"/>
      <c r="AL951" s="78"/>
      <c r="AM951" s="78"/>
      <c r="AN951" s="76"/>
      <c r="AO951" s="76"/>
      <c r="AP951" s="76"/>
      <c r="AQ951" s="76"/>
      <c r="AR951" s="76"/>
      <c r="AS951" s="76"/>
      <c r="AT951" s="76"/>
      <c r="AU951" s="76"/>
      <c r="AV951" s="76"/>
      <c r="AW951" s="79"/>
      <c r="AX951" s="79"/>
      <c r="AY951" s="79"/>
      <c r="AZ951" s="79"/>
      <c r="BA951" s="79"/>
      <c r="BB951" s="11"/>
      <c r="BC951" s="11"/>
      <c r="BD951" s="11"/>
      <c r="BE951" s="73"/>
      <c r="BF951" s="73"/>
      <c r="BG951" s="73"/>
      <c r="BH951" s="77"/>
      <c r="BI951" s="77"/>
      <c r="BJ951" s="77"/>
      <c r="BK951" s="77"/>
      <c r="BL951" s="77"/>
      <c r="BM951" s="77"/>
      <c r="BN951" s="158"/>
      <c r="BO951" s="158"/>
    </row>
    <row r="952" spans="1:67" ht="15" x14ac:dyDescent="0.25">
      <c r="A952" s="71"/>
      <c r="B952" s="11"/>
      <c r="C952" s="11"/>
      <c r="D952" s="11"/>
      <c r="E952" s="11"/>
      <c r="F952" s="11"/>
      <c r="G952" s="11"/>
      <c r="H952" s="11"/>
      <c r="I952" s="11"/>
      <c r="J952" s="249"/>
      <c r="K952" s="72"/>
      <c r="L952" s="73"/>
      <c r="M952" s="73"/>
      <c r="N952" s="74"/>
      <c r="O952" s="75"/>
      <c r="P952" s="73"/>
      <c r="Q952" s="76"/>
      <c r="R952" s="76"/>
      <c r="S952" s="76"/>
      <c r="T952" s="76"/>
      <c r="U952" s="76"/>
      <c r="V952" s="76"/>
      <c r="W952" s="76"/>
      <c r="X952" s="76"/>
      <c r="Y952" s="76"/>
      <c r="Z952" s="77"/>
      <c r="AA952" s="77"/>
      <c r="AB952" s="77"/>
      <c r="AC952" s="77"/>
      <c r="AD952" s="77"/>
      <c r="AE952" s="77"/>
      <c r="AF952" s="77"/>
      <c r="AG952" s="77"/>
      <c r="AH952" s="78"/>
      <c r="AI952" s="78"/>
      <c r="AJ952" s="78"/>
      <c r="AK952" s="78"/>
      <c r="AL952" s="78"/>
      <c r="AM952" s="78"/>
      <c r="AN952" s="76"/>
      <c r="AO952" s="76"/>
      <c r="AP952" s="76"/>
      <c r="AQ952" s="76"/>
      <c r="AR952" s="76"/>
      <c r="AS952" s="76"/>
      <c r="AT952" s="76"/>
      <c r="AU952" s="76"/>
      <c r="AV952" s="76"/>
      <c r="AW952" s="79"/>
      <c r="AX952" s="79"/>
      <c r="AY952" s="79"/>
      <c r="AZ952" s="79"/>
      <c r="BA952" s="79"/>
      <c r="BB952" s="11"/>
      <c r="BC952" s="11"/>
      <c r="BD952" s="11"/>
      <c r="BE952" s="73"/>
      <c r="BF952" s="73"/>
      <c r="BG952" s="73"/>
      <c r="BH952" s="77"/>
      <c r="BI952" s="77"/>
      <c r="BJ952" s="77"/>
      <c r="BK952" s="77"/>
      <c r="BL952" s="77"/>
      <c r="BM952" s="77"/>
      <c r="BN952" s="158"/>
      <c r="BO952" s="158"/>
    </row>
    <row r="953" spans="1:67" ht="15" x14ac:dyDescent="0.25">
      <c r="A953" s="71"/>
      <c r="B953" s="11"/>
      <c r="C953" s="11"/>
      <c r="D953" s="11"/>
      <c r="E953" s="11"/>
      <c r="F953" s="11"/>
      <c r="G953" s="11"/>
      <c r="H953" s="11"/>
      <c r="I953" s="11"/>
      <c r="J953" s="249"/>
      <c r="K953" s="72"/>
      <c r="L953" s="73"/>
      <c r="M953" s="73"/>
      <c r="N953" s="74"/>
      <c r="O953" s="75"/>
      <c r="P953" s="73"/>
      <c r="Q953" s="76"/>
      <c r="R953" s="76"/>
      <c r="S953" s="76"/>
      <c r="T953" s="76"/>
      <c r="U953" s="76"/>
      <c r="V953" s="76"/>
      <c r="W953" s="76"/>
      <c r="X953" s="76"/>
      <c r="Y953" s="76"/>
      <c r="Z953" s="77"/>
      <c r="AA953" s="77"/>
      <c r="AB953" s="77"/>
      <c r="AC953" s="77"/>
      <c r="AD953" s="77"/>
      <c r="AE953" s="77"/>
      <c r="AF953" s="77"/>
      <c r="AG953" s="77"/>
      <c r="AH953" s="78"/>
      <c r="AI953" s="78"/>
      <c r="AJ953" s="78"/>
      <c r="AK953" s="78"/>
      <c r="AL953" s="78"/>
      <c r="AM953" s="78"/>
      <c r="AN953" s="76"/>
      <c r="AO953" s="76"/>
      <c r="AP953" s="76"/>
      <c r="AQ953" s="76"/>
      <c r="AR953" s="76"/>
      <c r="AS953" s="76"/>
      <c r="AT953" s="76"/>
      <c r="AU953" s="76"/>
      <c r="AV953" s="76"/>
      <c r="AW953" s="79"/>
      <c r="AX953" s="79"/>
      <c r="AY953" s="79"/>
      <c r="AZ953" s="79"/>
      <c r="BA953" s="79"/>
      <c r="BB953" s="11"/>
      <c r="BC953" s="11"/>
      <c r="BD953" s="11"/>
      <c r="BE953" s="73"/>
      <c r="BF953" s="73"/>
      <c r="BG953" s="73"/>
      <c r="BH953" s="77"/>
      <c r="BI953" s="77"/>
      <c r="BJ953" s="77"/>
      <c r="BK953" s="77"/>
      <c r="BL953" s="77"/>
      <c r="BM953" s="77"/>
      <c r="BN953" s="158"/>
      <c r="BO953" s="158"/>
    </row>
    <row r="954" spans="1:67" ht="15" x14ac:dyDescent="0.25">
      <c r="A954" s="71"/>
      <c r="B954" s="11"/>
      <c r="C954" s="11"/>
      <c r="D954" s="11"/>
      <c r="E954" s="11"/>
      <c r="F954" s="11"/>
      <c r="G954" s="11"/>
      <c r="H954" s="11"/>
      <c r="I954" s="11"/>
      <c r="J954" s="249"/>
      <c r="K954" s="72"/>
      <c r="L954" s="73"/>
      <c r="M954" s="73"/>
      <c r="N954" s="74"/>
      <c r="O954" s="75"/>
      <c r="P954" s="73"/>
      <c r="Q954" s="76"/>
      <c r="R954" s="76"/>
      <c r="S954" s="76"/>
      <c r="T954" s="76"/>
      <c r="U954" s="76"/>
      <c r="V954" s="76"/>
      <c r="W954" s="76"/>
      <c r="X954" s="76"/>
      <c r="Y954" s="76"/>
      <c r="Z954" s="77"/>
      <c r="AA954" s="77"/>
      <c r="AB954" s="77"/>
      <c r="AC954" s="77"/>
      <c r="AD954" s="77"/>
      <c r="AE954" s="77"/>
      <c r="AF954" s="77"/>
      <c r="AG954" s="77"/>
      <c r="AH954" s="78"/>
      <c r="AI954" s="78"/>
      <c r="AJ954" s="78"/>
      <c r="AK954" s="78"/>
      <c r="AL954" s="78"/>
      <c r="AM954" s="78"/>
      <c r="AN954" s="76"/>
      <c r="AO954" s="76"/>
      <c r="AP954" s="76"/>
      <c r="AQ954" s="76"/>
      <c r="AR954" s="76"/>
      <c r="AS954" s="76"/>
      <c r="AT954" s="76"/>
      <c r="AU954" s="76"/>
      <c r="AV954" s="76"/>
      <c r="AW954" s="79"/>
      <c r="AX954" s="79"/>
      <c r="AY954" s="79"/>
      <c r="AZ954" s="79"/>
      <c r="BA954" s="79"/>
      <c r="BB954" s="11"/>
      <c r="BC954" s="11"/>
      <c r="BD954" s="11"/>
      <c r="BE954" s="73"/>
      <c r="BF954" s="73"/>
      <c r="BG954" s="73"/>
      <c r="BH954" s="77"/>
      <c r="BI954" s="77"/>
      <c r="BJ954" s="77"/>
      <c r="BK954" s="77"/>
      <c r="BL954" s="77"/>
      <c r="BM954" s="77"/>
      <c r="BN954" s="158"/>
      <c r="BO954" s="158"/>
    </row>
    <row r="955" spans="1:67" ht="15" x14ac:dyDescent="0.25">
      <c r="A955" s="71"/>
      <c r="B955" s="11"/>
      <c r="C955" s="11"/>
      <c r="D955" s="11"/>
      <c r="E955" s="11"/>
      <c r="F955" s="11"/>
      <c r="G955" s="11"/>
      <c r="H955" s="11"/>
      <c r="I955" s="11"/>
      <c r="J955" s="249"/>
      <c r="K955" s="72"/>
      <c r="L955" s="73"/>
      <c r="M955" s="73"/>
      <c r="N955" s="74"/>
      <c r="O955" s="75"/>
      <c r="P955" s="73"/>
      <c r="Q955" s="76"/>
      <c r="R955" s="76"/>
      <c r="S955" s="76"/>
      <c r="T955" s="76"/>
      <c r="U955" s="76"/>
      <c r="V955" s="76"/>
      <c r="W955" s="76"/>
      <c r="X955" s="76"/>
      <c r="Y955" s="76"/>
      <c r="Z955" s="77"/>
      <c r="AA955" s="77"/>
      <c r="AB955" s="77"/>
      <c r="AC955" s="77"/>
      <c r="AD955" s="77"/>
      <c r="AE955" s="77"/>
      <c r="AF955" s="77"/>
      <c r="AG955" s="77"/>
      <c r="AH955" s="78"/>
      <c r="AI955" s="78"/>
      <c r="AJ955" s="78"/>
      <c r="AK955" s="78"/>
      <c r="AL955" s="78"/>
      <c r="AM955" s="78"/>
      <c r="AN955" s="76"/>
      <c r="AO955" s="76"/>
      <c r="AP955" s="76"/>
      <c r="AQ955" s="76"/>
      <c r="AR955" s="76"/>
      <c r="AS955" s="76"/>
      <c r="AT955" s="76"/>
      <c r="AU955" s="76"/>
      <c r="AV955" s="76"/>
      <c r="AW955" s="79"/>
      <c r="AX955" s="79"/>
      <c r="AY955" s="79"/>
      <c r="AZ955" s="79"/>
      <c r="BA955" s="79"/>
      <c r="BB955" s="11"/>
      <c r="BC955" s="11"/>
      <c r="BD955" s="11"/>
      <c r="BE955" s="73"/>
      <c r="BF955" s="73"/>
      <c r="BG955" s="73"/>
      <c r="BH955" s="77"/>
      <c r="BI955" s="77"/>
      <c r="BJ955" s="77"/>
      <c r="BK955" s="77"/>
      <c r="BL955" s="77"/>
      <c r="BM955" s="77"/>
      <c r="BN955" s="158"/>
      <c r="BO955" s="158"/>
    </row>
    <row r="956" spans="1:67" ht="15" x14ac:dyDescent="0.25">
      <c r="A956" s="71"/>
      <c r="B956" s="11"/>
      <c r="C956" s="11"/>
      <c r="D956" s="11"/>
      <c r="E956" s="11"/>
      <c r="F956" s="11"/>
      <c r="G956" s="11"/>
      <c r="H956" s="11"/>
      <c r="I956" s="11"/>
      <c r="J956" s="249"/>
      <c r="K956" s="72"/>
      <c r="L956" s="73"/>
      <c r="M956" s="73"/>
      <c r="N956" s="74"/>
      <c r="O956" s="75"/>
      <c r="P956" s="73"/>
      <c r="Q956" s="76"/>
      <c r="R956" s="76"/>
      <c r="S956" s="76"/>
      <c r="T956" s="76"/>
      <c r="U956" s="76"/>
      <c r="V956" s="76"/>
      <c r="W956" s="76"/>
      <c r="X956" s="76"/>
      <c r="Y956" s="76"/>
      <c r="Z956" s="77"/>
      <c r="AA956" s="77"/>
      <c r="AB956" s="77"/>
      <c r="AC956" s="77"/>
      <c r="AD956" s="77"/>
      <c r="AE956" s="77"/>
      <c r="AF956" s="77"/>
      <c r="AG956" s="77"/>
      <c r="AH956" s="78"/>
      <c r="AI956" s="78"/>
      <c r="AJ956" s="78"/>
      <c r="AK956" s="78"/>
      <c r="AL956" s="78"/>
      <c r="AM956" s="78"/>
      <c r="AN956" s="76"/>
      <c r="AO956" s="76"/>
      <c r="AP956" s="76"/>
      <c r="AQ956" s="76"/>
      <c r="AR956" s="76"/>
      <c r="AS956" s="76"/>
      <c r="AT956" s="76"/>
      <c r="AU956" s="76"/>
      <c r="AV956" s="76"/>
      <c r="AW956" s="79"/>
      <c r="AX956" s="79"/>
      <c r="AY956" s="79"/>
      <c r="AZ956" s="79"/>
      <c r="BA956" s="79"/>
      <c r="BB956" s="11"/>
      <c r="BC956" s="11"/>
      <c r="BD956" s="11"/>
      <c r="BE956" s="73"/>
      <c r="BF956" s="73"/>
      <c r="BG956" s="73"/>
      <c r="BH956" s="77"/>
      <c r="BI956" s="77"/>
      <c r="BJ956" s="77"/>
      <c r="BK956" s="77"/>
      <c r="BL956" s="77"/>
      <c r="BM956" s="77"/>
      <c r="BN956" s="158"/>
      <c r="BO956" s="158"/>
    </row>
    <row r="957" spans="1:67" ht="15" x14ac:dyDescent="0.25">
      <c r="A957" s="71"/>
      <c r="B957" s="11"/>
      <c r="C957" s="11"/>
      <c r="D957" s="11"/>
      <c r="E957" s="11"/>
      <c r="F957" s="11"/>
      <c r="G957" s="11"/>
      <c r="H957" s="11"/>
      <c r="I957" s="11"/>
      <c r="J957" s="249"/>
      <c r="K957" s="72"/>
      <c r="L957" s="73"/>
      <c r="M957" s="73"/>
      <c r="N957" s="74"/>
      <c r="O957" s="75"/>
      <c r="P957" s="73"/>
      <c r="Q957" s="76"/>
      <c r="R957" s="76"/>
      <c r="S957" s="76"/>
      <c r="T957" s="76"/>
      <c r="U957" s="76"/>
      <c r="V957" s="76"/>
      <c r="W957" s="76"/>
      <c r="X957" s="76"/>
      <c r="Y957" s="76"/>
      <c r="Z957" s="77"/>
      <c r="AA957" s="77"/>
      <c r="AB957" s="77"/>
      <c r="AC957" s="77"/>
      <c r="AD957" s="77"/>
      <c r="AE957" s="77"/>
      <c r="AF957" s="77"/>
      <c r="AG957" s="77"/>
      <c r="AH957" s="78"/>
      <c r="AI957" s="78"/>
      <c r="AJ957" s="78"/>
      <c r="AK957" s="78"/>
      <c r="AL957" s="78"/>
      <c r="AM957" s="78"/>
      <c r="AN957" s="76"/>
      <c r="AO957" s="76"/>
      <c r="AP957" s="76"/>
      <c r="AQ957" s="76"/>
      <c r="AR957" s="76"/>
      <c r="AS957" s="76"/>
      <c r="AT957" s="76"/>
      <c r="AU957" s="76"/>
      <c r="AV957" s="76"/>
      <c r="AW957" s="79"/>
      <c r="AX957" s="79"/>
      <c r="AY957" s="79"/>
      <c r="AZ957" s="79"/>
      <c r="BA957" s="79"/>
      <c r="BB957" s="11"/>
      <c r="BC957" s="11"/>
      <c r="BD957" s="11"/>
      <c r="BE957" s="73"/>
      <c r="BF957" s="73"/>
      <c r="BG957" s="73"/>
      <c r="BH957" s="77"/>
      <c r="BI957" s="77"/>
      <c r="BJ957" s="77"/>
      <c r="BK957" s="77"/>
      <c r="BL957" s="77"/>
      <c r="BM957" s="77"/>
      <c r="BN957" s="158"/>
      <c r="BO957" s="158"/>
    </row>
    <row r="958" spans="1:67" ht="15" x14ac:dyDescent="0.25">
      <c r="A958" s="71"/>
      <c r="B958" s="11"/>
      <c r="C958" s="11"/>
      <c r="D958" s="11"/>
      <c r="E958" s="11"/>
      <c r="F958" s="11"/>
      <c r="G958" s="11"/>
      <c r="H958" s="11"/>
      <c r="I958" s="11"/>
      <c r="J958" s="249"/>
      <c r="K958" s="72"/>
      <c r="L958" s="73"/>
      <c r="M958" s="73"/>
      <c r="N958" s="74"/>
      <c r="O958" s="75"/>
      <c r="P958" s="73"/>
      <c r="Q958" s="76"/>
      <c r="R958" s="76"/>
      <c r="S958" s="76"/>
      <c r="T958" s="76"/>
      <c r="U958" s="76"/>
      <c r="V958" s="76"/>
      <c r="W958" s="76"/>
      <c r="X958" s="76"/>
      <c r="Y958" s="76"/>
      <c r="Z958" s="77"/>
      <c r="AA958" s="77"/>
      <c r="AB958" s="77"/>
      <c r="AC958" s="77"/>
      <c r="AD958" s="77"/>
      <c r="AE958" s="77"/>
      <c r="AF958" s="77"/>
      <c r="AG958" s="77"/>
      <c r="AH958" s="78"/>
      <c r="AI958" s="78"/>
      <c r="AJ958" s="78"/>
      <c r="AK958" s="78"/>
      <c r="AL958" s="78"/>
      <c r="AM958" s="78"/>
      <c r="AN958" s="76"/>
      <c r="AO958" s="76"/>
      <c r="AP958" s="76"/>
      <c r="AQ958" s="76"/>
      <c r="AR958" s="76"/>
      <c r="AS958" s="76"/>
      <c r="AT958" s="76"/>
      <c r="AU958" s="76"/>
      <c r="AV958" s="76"/>
      <c r="AW958" s="79"/>
      <c r="AX958" s="79"/>
      <c r="AY958" s="79"/>
      <c r="AZ958" s="79"/>
      <c r="BA958" s="79"/>
      <c r="BB958" s="11"/>
      <c r="BC958" s="11"/>
      <c r="BD958" s="11"/>
      <c r="BE958" s="73"/>
      <c r="BF958" s="73"/>
      <c r="BG958" s="73"/>
      <c r="BH958" s="77"/>
      <c r="BI958" s="77"/>
      <c r="BJ958" s="77"/>
      <c r="BK958" s="77"/>
      <c r="BL958" s="77"/>
      <c r="BM958" s="77"/>
      <c r="BN958" s="158"/>
      <c r="BO958" s="158"/>
    </row>
    <row r="959" spans="1:67" ht="15" x14ac:dyDescent="0.25">
      <c r="A959" s="71"/>
      <c r="B959" s="11"/>
      <c r="C959" s="11"/>
      <c r="D959" s="11"/>
      <c r="E959" s="11"/>
      <c r="F959" s="11"/>
      <c r="G959" s="11"/>
      <c r="H959" s="11"/>
      <c r="I959" s="11"/>
      <c r="J959" s="249"/>
      <c r="K959" s="72"/>
      <c r="L959" s="73"/>
      <c r="M959" s="73"/>
      <c r="N959" s="74"/>
      <c r="O959" s="75"/>
      <c r="P959" s="73"/>
      <c r="Q959" s="76"/>
      <c r="R959" s="76"/>
      <c r="S959" s="76"/>
      <c r="T959" s="76"/>
      <c r="U959" s="76"/>
      <c r="V959" s="76"/>
      <c r="W959" s="76"/>
      <c r="X959" s="76"/>
      <c r="Y959" s="76"/>
      <c r="Z959" s="77"/>
      <c r="AA959" s="77"/>
      <c r="AB959" s="77"/>
      <c r="AC959" s="77"/>
      <c r="AD959" s="77"/>
      <c r="AE959" s="77"/>
      <c r="AF959" s="77"/>
      <c r="AG959" s="77"/>
      <c r="AH959" s="78"/>
      <c r="AI959" s="78"/>
      <c r="AJ959" s="78"/>
      <c r="AK959" s="78"/>
      <c r="AL959" s="78"/>
      <c r="AM959" s="78"/>
      <c r="AN959" s="76"/>
      <c r="AO959" s="76"/>
      <c r="AP959" s="76"/>
      <c r="AQ959" s="76"/>
      <c r="AR959" s="76"/>
      <c r="AS959" s="76"/>
      <c r="AT959" s="76"/>
      <c r="AU959" s="76"/>
      <c r="AV959" s="76"/>
      <c r="AW959" s="79"/>
      <c r="AX959" s="79"/>
      <c r="AY959" s="79"/>
      <c r="AZ959" s="79"/>
      <c r="BA959" s="79"/>
      <c r="BB959" s="11"/>
      <c r="BC959" s="11"/>
      <c r="BD959" s="11"/>
      <c r="BE959" s="73"/>
      <c r="BF959" s="73"/>
      <c r="BG959" s="73"/>
      <c r="BH959" s="77"/>
      <c r="BI959" s="77"/>
      <c r="BJ959" s="77"/>
      <c r="BK959" s="77"/>
      <c r="BL959" s="77"/>
      <c r="BM959" s="77"/>
      <c r="BN959" s="158"/>
      <c r="BO959" s="158"/>
    </row>
    <row r="960" spans="1:67" ht="15" x14ac:dyDescent="0.25">
      <c r="A960" s="71"/>
      <c r="B960" s="11"/>
      <c r="C960" s="11"/>
      <c r="D960" s="11"/>
      <c r="E960" s="11"/>
      <c r="F960" s="11"/>
      <c r="G960" s="11"/>
      <c r="H960" s="11"/>
      <c r="I960" s="11"/>
      <c r="J960" s="249"/>
      <c r="K960" s="72"/>
      <c r="L960" s="73"/>
      <c r="M960" s="73"/>
      <c r="N960" s="74"/>
      <c r="O960" s="75"/>
      <c r="P960" s="73"/>
      <c r="Q960" s="76"/>
      <c r="R960" s="76"/>
      <c r="S960" s="76"/>
      <c r="T960" s="76"/>
      <c r="U960" s="76"/>
      <c r="V960" s="76"/>
      <c r="W960" s="76"/>
      <c r="X960" s="76"/>
      <c r="Y960" s="76"/>
      <c r="Z960" s="77"/>
      <c r="AA960" s="77"/>
      <c r="AB960" s="77"/>
      <c r="AC960" s="77"/>
      <c r="AD960" s="77"/>
      <c r="AE960" s="77"/>
      <c r="AF960" s="77"/>
      <c r="AG960" s="77"/>
      <c r="AH960" s="78"/>
      <c r="AI960" s="78"/>
      <c r="AJ960" s="78"/>
      <c r="AK960" s="78"/>
      <c r="AL960" s="78"/>
      <c r="AM960" s="78"/>
      <c r="AN960" s="76"/>
      <c r="AO960" s="76"/>
      <c r="AP960" s="76"/>
      <c r="AQ960" s="76"/>
      <c r="AR960" s="76"/>
      <c r="AS960" s="76"/>
      <c r="AT960" s="76"/>
      <c r="AU960" s="76"/>
      <c r="AV960" s="76"/>
      <c r="AW960" s="79"/>
      <c r="AX960" s="79"/>
      <c r="AY960" s="79"/>
      <c r="AZ960" s="79"/>
      <c r="BA960" s="79"/>
      <c r="BB960" s="11"/>
      <c r="BC960" s="11"/>
      <c r="BD960" s="11"/>
      <c r="BE960" s="73"/>
      <c r="BF960" s="73"/>
      <c r="BG960" s="73"/>
      <c r="BH960" s="77"/>
      <c r="BI960" s="77"/>
      <c r="BJ960" s="77"/>
      <c r="BK960" s="77"/>
      <c r="BL960" s="77"/>
      <c r="BM960" s="77"/>
      <c r="BN960" s="158"/>
      <c r="BO960" s="158"/>
    </row>
    <row r="961" spans="1:67" ht="15" x14ac:dyDescent="0.25">
      <c r="A961" s="71"/>
      <c r="B961" s="11"/>
      <c r="C961" s="11"/>
      <c r="D961" s="11"/>
      <c r="E961" s="11"/>
      <c r="F961" s="11"/>
      <c r="G961" s="11"/>
      <c r="H961" s="11"/>
      <c r="I961" s="11"/>
      <c r="J961" s="249"/>
      <c r="K961" s="72"/>
      <c r="L961" s="73"/>
      <c r="M961" s="73"/>
      <c r="N961" s="74"/>
      <c r="O961" s="75"/>
      <c r="P961" s="73"/>
      <c r="Q961" s="76"/>
      <c r="R961" s="76"/>
      <c r="S961" s="76"/>
      <c r="T961" s="76"/>
      <c r="U961" s="76"/>
      <c r="V961" s="76"/>
      <c r="W961" s="76"/>
      <c r="X961" s="76"/>
      <c r="Y961" s="76"/>
      <c r="Z961" s="77"/>
      <c r="AA961" s="77"/>
      <c r="AB961" s="77"/>
      <c r="AC961" s="77"/>
      <c r="AD961" s="77"/>
      <c r="AE961" s="77"/>
      <c r="AF961" s="77"/>
      <c r="AG961" s="77"/>
      <c r="AH961" s="78"/>
      <c r="AI961" s="78"/>
      <c r="AJ961" s="78"/>
      <c r="AK961" s="78"/>
      <c r="AL961" s="78"/>
      <c r="AM961" s="78"/>
      <c r="AN961" s="76"/>
      <c r="AO961" s="76"/>
      <c r="AP961" s="76"/>
      <c r="AQ961" s="76"/>
      <c r="AR961" s="76"/>
      <c r="AS961" s="76"/>
      <c r="AT961" s="76"/>
      <c r="AU961" s="76"/>
      <c r="AV961" s="76"/>
      <c r="AW961" s="79"/>
      <c r="AX961" s="79"/>
      <c r="AY961" s="79"/>
      <c r="AZ961" s="79"/>
      <c r="BA961" s="79"/>
      <c r="BB961" s="11"/>
      <c r="BC961" s="11"/>
      <c r="BD961" s="11"/>
      <c r="BE961" s="73"/>
      <c r="BF961" s="73"/>
      <c r="BG961" s="73"/>
      <c r="BH961" s="77"/>
      <c r="BI961" s="77"/>
      <c r="BJ961" s="77"/>
      <c r="BK961" s="77"/>
      <c r="BL961" s="77"/>
      <c r="BM961" s="77"/>
      <c r="BN961" s="158"/>
      <c r="BO961" s="158"/>
    </row>
    <row r="962" spans="1:67" ht="15" x14ac:dyDescent="0.25">
      <c r="A962" s="71"/>
      <c r="B962" s="11"/>
      <c r="C962" s="11"/>
      <c r="D962" s="11"/>
      <c r="E962" s="11"/>
      <c r="F962" s="11"/>
      <c r="G962" s="11"/>
      <c r="H962" s="11"/>
      <c r="I962" s="11"/>
      <c r="J962" s="249"/>
      <c r="K962" s="72"/>
      <c r="L962" s="73"/>
      <c r="M962" s="73"/>
      <c r="N962" s="74"/>
      <c r="O962" s="75"/>
      <c r="P962" s="73"/>
      <c r="Q962" s="76"/>
      <c r="R962" s="76"/>
      <c r="S962" s="76"/>
      <c r="T962" s="76"/>
      <c r="U962" s="76"/>
      <c r="V962" s="76"/>
      <c r="W962" s="76"/>
      <c r="X962" s="76"/>
      <c r="Y962" s="76"/>
      <c r="Z962" s="77"/>
      <c r="AA962" s="77"/>
      <c r="AB962" s="77"/>
      <c r="AC962" s="77"/>
      <c r="AD962" s="77"/>
      <c r="AE962" s="77"/>
      <c r="AF962" s="77"/>
      <c r="AG962" s="77"/>
      <c r="AH962" s="78"/>
      <c r="AI962" s="78"/>
      <c r="AJ962" s="78"/>
      <c r="AK962" s="78"/>
      <c r="AL962" s="78"/>
      <c r="AM962" s="78"/>
      <c r="AN962" s="76"/>
      <c r="AO962" s="76"/>
      <c r="AP962" s="76"/>
      <c r="AQ962" s="76"/>
      <c r="AR962" s="76"/>
      <c r="AS962" s="76"/>
      <c r="AT962" s="76"/>
      <c r="AU962" s="76"/>
      <c r="AV962" s="76"/>
      <c r="AW962" s="79"/>
      <c r="AX962" s="79"/>
      <c r="AY962" s="79"/>
      <c r="AZ962" s="79"/>
      <c r="BA962" s="79"/>
      <c r="BB962" s="11"/>
      <c r="BC962" s="11"/>
      <c r="BD962" s="11"/>
      <c r="BE962" s="73"/>
      <c r="BF962" s="73"/>
      <c r="BG962" s="73"/>
      <c r="BH962" s="77"/>
      <c r="BI962" s="77"/>
      <c r="BJ962" s="77"/>
      <c r="BK962" s="77"/>
      <c r="BL962" s="77"/>
      <c r="BM962" s="77"/>
      <c r="BN962" s="158"/>
      <c r="BO962" s="158"/>
    </row>
    <row r="963" spans="1:67" ht="15" x14ac:dyDescent="0.25">
      <c r="A963" s="71"/>
      <c r="B963" s="11"/>
      <c r="C963" s="11"/>
      <c r="D963" s="11"/>
      <c r="E963" s="11"/>
      <c r="F963" s="11"/>
      <c r="G963" s="11"/>
      <c r="H963" s="11"/>
      <c r="I963" s="11"/>
      <c r="J963" s="249"/>
      <c r="K963" s="72"/>
      <c r="L963" s="73"/>
      <c r="M963" s="73"/>
      <c r="N963" s="74"/>
      <c r="O963" s="75"/>
      <c r="P963" s="73"/>
      <c r="Q963" s="76"/>
      <c r="R963" s="76"/>
      <c r="S963" s="76"/>
      <c r="T963" s="76"/>
      <c r="U963" s="76"/>
      <c r="V963" s="76"/>
      <c r="W963" s="76"/>
      <c r="X963" s="76"/>
      <c r="Y963" s="76"/>
      <c r="Z963" s="77"/>
      <c r="AA963" s="77"/>
      <c r="AB963" s="77"/>
      <c r="AC963" s="77"/>
      <c r="AD963" s="77"/>
      <c r="AE963" s="77"/>
      <c r="AF963" s="77"/>
      <c r="AG963" s="77"/>
      <c r="AH963" s="78"/>
      <c r="AI963" s="78"/>
      <c r="AJ963" s="78"/>
      <c r="AK963" s="78"/>
      <c r="AL963" s="78"/>
      <c r="AM963" s="78"/>
      <c r="AN963" s="76"/>
      <c r="AO963" s="76"/>
      <c r="AP963" s="76"/>
      <c r="AQ963" s="76"/>
      <c r="AR963" s="76"/>
      <c r="AS963" s="76"/>
      <c r="AT963" s="76"/>
      <c r="AU963" s="76"/>
      <c r="AV963" s="76"/>
      <c r="AW963" s="79"/>
      <c r="AX963" s="79"/>
      <c r="AY963" s="79"/>
      <c r="AZ963" s="79"/>
      <c r="BA963" s="79"/>
      <c r="BB963" s="11"/>
      <c r="BC963" s="11"/>
      <c r="BD963" s="11"/>
      <c r="BE963" s="73"/>
      <c r="BF963" s="73"/>
      <c r="BG963" s="73"/>
      <c r="BH963" s="77"/>
      <c r="BI963" s="77"/>
      <c r="BJ963" s="77"/>
      <c r="BK963" s="77"/>
      <c r="BL963" s="77"/>
      <c r="BM963" s="77"/>
      <c r="BN963" s="158"/>
      <c r="BO963" s="158"/>
    </row>
    <row r="964" spans="1:67" ht="15" x14ac:dyDescent="0.25">
      <c r="A964" s="71"/>
      <c r="B964" s="11"/>
      <c r="C964" s="11"/>
      <c r="D964" s="11"/>
      <c r="E964" s="11"/>
      <c r="F964" s="11"/>
      <c r="G964" s="11"/>
      <c r="H964" s="11"/>
      <c r="I964" s="11"/>
      <c r="J964" s="249"/>
      <c r="K964" s="72"/>
      <c r="L964" s="73"/>
      <c r="M964" s="73"/>
      <c r="N964" s="74"/>
      <c r="O964" s="75"/>
      <c r="P964" s="73"/>
      <c r="Q964" s="76"/>
      <c r="R964" s="76"/>
      <c r="S964" s="76"/>
      <c r="T964" s="76"/>
      <c r="U964" s="76"/>
      <c r="V964" s="76"/>
      <c r="W964" s="76"/>
      <c r="X964" s="76"/>
      <c r="Y964" s="76"/>
      <c r="Z964" s="77"/>
      <c r="AA964" s="77"/>
      <c r="AB964" s="77"/>
      <c r="AC964" s="77"/>
      <c r="AD964" s="77"/>
      <c r="AE964" s="77"/>
      <c r="AF964" s="77"/>
      <c r="AG964" s="77"/>
      <c r="AH964" s="78"/>
      <c r="AI964" s="78"/>
      <c r="AJ964" s="78"/>
      <c r="AK964" s="78"/>
      <c r="AL964" s="78"/>
      <c r="AM964" s="78"/>
      <c r="AN964" s="76"/>
      <c r="AO964" s="76"/>
      <c r="AP964" s="76"/>
      <c r="AQ964" s="76"/>
      <c r="AR964" s="76"/>
      <c r="AS964" s="76"/>
      <c r="AT964" s="76"/>
      <c r="AU964" s="76"/>
      <c r="AV964" s="76"/>
      <c r="AW964" s="79"/>
      <c r="AX964" s="79"/>
      <c r="AY964" s="79"/>
      <c r="AZ964" s="79"/>
      <c r="BA964" s="79"/>
      <c r="BB964" s="11"/>
      <c r="BC964" s="11"/>
      <c r="BD964" s="11"/>
      <c r="BE964" s="73"/>
      <c r="BF964" s="73"/>
      <c r="BG964" s="73"/>
      <c r="BH964" s="77"/>
      <c r="BI964" s="77"/>
      <c r="BJ964" s="77"/>
      <c r="BK964" s="77"/>
      <c r="BL964" s="77"/>
      <c r="BM964" s="77"/>
      <c r="BN964" s="158"/>
      <c r="BO964" s="158"/>
    </row>
    <row r="965" spans="1:67" ht="15" x14ac:dyDescent="0.25">
      <c r="A965" s="71"/>
      <c r="B965" s="11"/>
      <c r="C965" s="11"/>
      <c r="D965" s="11"/>
      <c r="E965" s="11"/>
      <c r="F965" s="11"/>
      <c r="G965" s="11"/>
      <c r="H965" s="11"/>
      <c r="I965" s="11"/>
      <c r="J965" s="249"/>
      <c r="K965" s="72"/>
      <c r="L965" s="73"/>
      <c r="M965" s="73"/>
      <c r="N965" s="74"/>
      <c r="O965" s="75"/>
      <c r="P965" s="73"/>
      <c r="Q965" s="76"/>
      <c r="R965" s="76"/>
      <c r="S965" s="76"/>
      <c r="T965" s="76"/>
      <c r="U965" s="76"/>
      <c r="V965" s="76"/>
      <c r="W965" s="76"/>
      <c r="X965" s="76"/>
      <c r="Y965" s="76"/>
      <c r="Z965" s="77"/>
      <c r="AA965" s="77"/>
      <c r="AB965" s="77"/>
      <c r="AC965" s="77"/>
      <c r="AD965" s="77"/>
      <c r="AE965" s="77"/>
      <c r="AF965" s="77"/>
      <c r="AG965" s="77"/>
      <c r="AH965" s="78"/>
      <c r="AI965" s="78"/>
      <c r="AJ965" s="78"/>
      <c r="AK965" s="78"/>
      <c r="AL965" s="78"/>
      <c r="AM965" s="78"/>
      <c r="AN965" s="76"/>
      <c r="AO965" s="76"/>
      <c r="AP965" s="76"/>
      <c r="AQ965" s="76"/>
      <c r="AR965" s="76"/>
      <c r="AS965" s="76"/>
      <c r="AT965" s="76"/>
      <c r="AU965" s="76"/>
      <c r="AV965" s="76"/>
      <c r="AW965" s="79"/>
      <c r="AX965" s="79"/>
      <c r="AY965" s="79"/>
      <c r="AZ965" s="79"/>
      <c r="BA965" s="79"/>
      <c r="BB965" s="11"/>
      <c r="BC965" s="11"/>
      <c r="BD965" s="11"/>
      <c r="BE965" s="73"/>
      <c r="BF965" s="73"/>
      <c r="BG965" s="73"/>
      <c r="BH965" s="77"/>
      <c r="BI965" s="77"/>
      <c r="BJ965" s="77"/>
      <c r="BK965" s="77"/>
      <c r="BL965" s="77"/>
      <c r="BM965" s="77"/>
      <c r="BN965" s="158"/>
      <c r="BO965" s="158"/>
    </row>
    <row r="966" spans="1:67" ht="15" x14ac:dyDescent="0.25">
      <c r="A966" s="71"/>
      <c r="B966" s="11"/>
      <c r="C966" s="11"/>
      <c r="D966" s="11"/>
      <c r="E966" s="11"/>
      <c r="F966" s="11"/>
      <c r="G966" s="11"/>
      <c r="H966" s="11"/>
      <c r="I966" s="11"/>
      <c r="J966" s="249"/>
      <c r="K966" s="72"/>
      <c r="L966" s="73"/>
      <c r="M966" s="73"/>
      <c r="N966" s="74"/>
      <c r="O966" s="75"/>
      <c r="P966" s="73"/>
      <c r="Q966" s="76"/>
      <c r="R966" s="76"/>
      <c r="S966" s="76"/>
      <c r="T966" s="76"/>
      <c r="U966" s="76"/>
      <c r="V966" s="76"/>
      <c r="W966" s="76"/>
      <c r="X966" s="76"/>
      <c r="Y966" s="76"/>
      <c r="Z966" s="77"/>
      <c r="AA966" s="77"/>
      <c r="AB966" s="77"/>
      <c r="AC966" s="77"/>
      <c r="AD966" s="77"/>
      <c r="AE966" s="77"/>
      <c r="AF966" s="77"/>
      <c r="AG966" s="77"/>
      <c r="AH966" s="78"/>
      <c r="AI966" s="78"/>
      <c r="AJ966" s="78"/>
      <c r="AK966" s="78"/>
      <c r="AL966" s="78"/>
      <c r="AM966" s="78"/>
      <c r="AN966" s="76"/>
      <c r="AO966" s="76"/>
      <c r="AP966" s="76"/>
      <c r="AQ966" s="76"/>
      <c r="AR966" s="76"/>
      <c r="AS966" s="76"/>
      <c r="AT966" s="76"/>
      <c r="AU966" s="76"/>
      <c r="AV966" s="76"/>
      <c r="AW966" s="79"/>
      <c r="AX966" s="79"/>
      <c r="AY966" s="79"/>
      <c r="AZ966" s="79"/>
      <c r="BA966" s="79"/>
      <c r="BB966" s="11"/>
      <c r="BC966" s="11"/>
      <c r="BD966" s="11"/>
      <c r="BE966" s="73"/>
      <c r="BF966" s="73"/>
      <c r="BG966" s="73"/>
      <c r="BH966" s="77"/>
      <c r="BI966" s="77"/>
      <c r="BJ966" s="77"/>
      <c r="BK966" s="77"/>
      <c r="BL966" s="77"/>
      <c r="BM966" s="77"/>
      <c r="BN966" s="158"/>
      <c r="BO966" s="158"/>
    </row>
    <row r="967" spans="1:67" ht="15" x14ac:dyDescent="0.25">
      <c r="A967" s="71"/>
      <c r="B967" s="11"/>
      <c r="C967" s="11"/>
      <c r="D967" s="11"/>
      <c r="E967" s="11"/>
      <c r="F967" s="11"/>
      <c r="G967" s="11"/>
      <c r="H967" s="11"/>
      <c r="I967" s="11"/>
      <c r="J967" s="249"/>
      <c r="K967" s="72"/>
      <c r="L967" s="73"/>
      <c r="M967" s="73"/>
      <c r="N967" s="74"/>
      <c r="O967" s="75"/>
      <c r="P967" s="73"/>
      <c r="Q967" s="76"/>
      <c r="R967" s="76"/>
      <c r="S967" s="76"/>
      <c r="T967" s="76"/>
      <c r="U967" s="76"/>
      <c r="V967" s="76"/>
      <c r="W967" s="76"/>
      <c r="X967" s="76"/>
      <c r="Y967" s="76"/>
      <c r="Z967" s="77"/>
      <c r="AA967" s="77"/>
      <c r="AB967" s="77"/>
      <c r="AC967" s="77"/>
      <c r="AD967" s="77"/>
      <c r="AE967" s="77"/>
      <c r="AF967" s="77"/>
      <c r="AG967" s="77"/>
      <c r="AH967" s="78"/>
      <c r="AI967" s="78"/>
      <c r="AJ967" s="78"/>
      <c r="AK967" s="78"/>
      <c r="AL967" s="78"/>
      <c r="AM967" s="78"/>
      <c r="AN967" s="76"/>
      <c r="AO967" s="76"/>
      <c r="AP967" s="76"/>
      <c r="AQ967" s="76"/>
      <c r="AR967" s="76"/>
      <c r="AS967" s="76"/>
      <c r="AT967" s="76"/>
      <c r="AU967" s="76"/>
      <c r="AV967" s="76"/>
      <c r="AW967" s="79"/>
      <c r="AX967" s="79"/>
      <c r="AY967" s="79"/>
      <c r="AZ967" s="79"/>
      <c r="BA967" s="79"/>
      <c r="BB967" s="11"/>
      <c r="BC967" s="11"/>
      <c r="BD967" s="11"/>
      <c r="BE967" s="73"/>
      <c r="BF967" s="73"/>
      <c r="BG967" s="73"/>
      <c r="BH967" s="77"/>
      <c r="BI967" s="77"/>
      <c r="BJ967" s="77"/>
      <c r="BK967" s="77"/>
      <c r="BL967" s="77"/>
      <c r="BM967" s="77"/>
      <c r="BN967" s="158"/>
      <c r="BO967" s="158"/>
    </row>
    <row r="968" spans="1:67" ht="15" x14ac:dyDescent="0.25">
      <c r="A968" s="71"/>
      <c r="B968" s="11"/>
      <c r="C968" s="11"/>
      <c r="D968" s="11"/>
      <c r="E968" s="11"/>
      <c r="F968" s="11"/>
      <c r="G968" s="11"/>
      <c r="H968" s="11"/>
      <c r="I968" s="11"/>
      <c r="J968" s="249"/>
      <c r="K968" s="72"/>
      <c r="L968" s="73"/>
      <c r="M968" s="73"/>
      <c r="N968" s="74"/>
      <c r="O968" s="75"/>
      <c r="P968" s="73"/>
      <c r="Q968" s="76"/>
      <c r="R968" s="76"/>
      <c r="S968" s="76"/>
      <c r="T968" s="76"/>
      <c r="U968" s="76"/>
      <c r="V968" s="76"/>
      <c r="W968" s="76"/>
      <c r="X968" s="76"/>
      <c r="Y968" s="76"/>
      <c r="Z968" s="77"/>
      <c r="AA968" s="77"/>
      <c r="AB968" s="77"/>
      <c r="AC968" s="77"/>
      <c r="AD968" s="77"/>
      <c r="AE968" s="77"/>
      <c r="AF968" s="77"/>
      <c r="AG968" s="77"/>
      <c r="AH968" s="78"/>
      <c r="AI968" s="78"/>
      <c r="AJ968" s="78"/>
      <c r="AK968" s="78"/>
      <c r="AL968" s="78"/>
      <c r="AM968" s="78"/>
      <c r="AN968" s="76"/>
      <c r="AO968" s="76"/>
      <c r="AP968" s="76"/>
      <c r="AQ968" s="76"/>
      <c r="AR968" s="76"/>
      <c r="AS968" s="76"/>
      <c r="AT968" s="76"/>
      <c r="AU968" s="76"/>
      <c r="AV968" s="76"/>
      <c r="AW968" s="79"/>
      <c r="AX968" s="79"/>
      <c r="AY968" s="79"/>
      <c r="AZ968" s="79"/>
      <c r="BA968" s="79"/>
      <c r="BB968" s="11"/>
      <c r="BC968" s="11"/>
      <c r="BD968" s="11"/>
      <c r="BE968" s="73"/>
      <c r="BF968" s="73"/>
      <c r="BG968" s="73"/>
      <c r="BH968" s="77"/>
      <c r="BI968" s="77"/>
      <c r="BJ968" s="77"/>
      <c r="BK968" s="77"/>
      <c r="BL968" s="77"/>
      <c r="BM968" s="77"/>
      <c r="BN968" s="158"/>
      <c r="BO968" s="158"/>
    </row>
    <row r="969" spans="1:67" ht="15" x14ac:dyDescent="0.25">
      <c r="A969" s="71"/>
      <c r="B969" s="11"/>
      <c r="C969" s="11"/>
      <c r="D969" s="11"/>
      <c r="E969" s="11"/>
      <c r="F969" s="11"/>
      <c r="G969" s="11"/>
      <c r="H969" s="11"/>
      <c r="I969" s="11"/>
      <c r="J969" s="249"/>
      <c r="K969" s="72"/>
      <c r="L969" s="73"/>
      <c r="M969" s="73"/>
      <c r="N969" s="74"/>
      <c r="O969" s="75"/>
      <c r="P969" s="73"/>
      <c r="Q969" s="76"/>
      <c r="R969" s="76"/>
      <c r="S969" s="76"/>
      <c r="T969" s="76"/>
      <c r="U969" s="76"/>
      <c r="V969" s="76"/>
      <c r="W969" s="76"/>
      <c r="X969" s="76"/>
      <c r="Y969" s="76"/>
      <c r="Z969" s="77"/>
      <c r="AA969" s="77"/>
      <c r="AB969" s="77"/>
      <c r="AC969" s="77"/>
      <c r="AD969" s="77"/>
      <c r="AE969" s="77"/>
      <c r="AF969" s="77"/>
      <c r="AG969" s="77"/>
      <c r="AH969" s="78"/>
      <c r="AI969" s="78"/>
      <c r="AJ969" s="78"/>
      <c r="AK969" s="78"/>
      <c r="AL969" s="78"/>
      <c r="AM969" s="78"/>
      <c r="AN969" s="76"/>
      <c r="AO969" s="76"/>
      <c r="AP969" s="76"/>
      <c r="AQ969" s="76"/>
      <c r="AR969" s="76"/>
      <c r="AS969" s="76"/>
      <c r="AT969" s="76"/>
      <c r="AU969" s="76"/>
      <c r="AV969" s="76"/>
      <c r="AW969" s="79"/>
      <c r="AX969" s="79"/>
      <c r="AY969" s="79"/>
      <c r="AZ969" s="79"/>
      <c r="BA969" s="79"/>
      <c r="BB969" s="11"/>
      <c r="BC969" s="11"/>
      <c r="BD969" s="11"/>
      <c r="BE969" s="73"/>
      <c r="BF969" s="73"/>
      <c r="BG969" s="73"/>
      <c r="BH969" s="77"/>
      <c r="BI969" s="77"/>
      <c r="BJ969" s="77"/>
      <c r="BK969" s="77"/>
      <c r="BL969" s="77"/>
      <c r="BM969" s="77"/>
      <c r="BN969" s="158"/>
      <c r="BO969" s="158"/>
    </row>
    <row r="970" spans="1:67" ht="15" x14ac:dyDescent="0.25">
      <c r="A970" s="71"/>
      <c r="B970" s="11"/>
      <c r="C970" s="11"/>
      <c r="D970" s="11"/>
      <c r="E970" s="11"/>
      <c r="F970" s="11"/>
      <c r="G970" s="11"/>
      <c r="H970" s="11"/>
      <c r="I970" s="11"/>
      <c r="J970" s="249"/>
      <c r="K970" s="72"/>
      <c r="L970" s="73"/>
      <c r="M970" s="73"/>
      <c r="N970" s="74"/>
      <c r="O970" s="75"/>
      <c r="P970" s="73"/>
      <c r="Q970" s="76"/>
      <c r="R970" s="76"/>
      <c r="S970" s="76"/>
      <c r="T970" s="76"/>
      <c r="U970" s="76"/>
      <c r="V970" s="76"/>
      <c r="W970" s="76"/>
      <c r="X970" s="76"/>
      <c r="Y970" s="76"/>
      <c r="Z970" s="77"/>
      <c r="AA970" s="77"/>
      <c r="AB970" s="77"/>
      <c r="AC970" s="77"/>
      <c r="AD970" s="77"/>
      <c r="AE970" s="77"/>
      <c r="AF970" s="77"/>
      <c r="AG970" s="77"/>
      <c r="AH970" s="78"/>
      <c r="AI970" s="78"/>
      <c r="AJ970" s="78"/>
      <c r="AK970" s="78"/>
      <c r="AL970" s="78"/>
      <c r="AM970" s="78"/>
      <c r="AN970" s="76"/>
      <c r="AO970" s="76"/>
      <c r="AP970" s="76"/>
      <c r="AQ970" s="76"/>
      <c r="AR970" s="76"/>
      <c r="AS970" s="76"/>
      <c r="AT970" s="76"/>
      <c r="AU970" s="76"/>
      <c r="AV970" s="76"/>
      <c r="AW970" s="79"/>
      <c r="AX970" s="79"/>
      <c r="AY970" s="79"/>
      <c r="AZ970" s="79"/>
      <c r="BA970" s="79"/>
      <c r="BB970" s="11"/>
      <c r="BC970" s="11"/>
      <c r="BD970" s="11"/>
      <c r="BE970" s="73"/>
      <c r="BF970" s="73"/>
      <c r="BG970" s="73"/>
      <c r="BH970" s="77"/>
      <c r="BI970" s="77"/>
      <c r="BJ970" s="77"/>
      <c r="BK970" s="77"/>
      <c r="BL970" s="77"/>
      <c r="BM970" s="77"/>
      <c r="BN970" s="158"/>
      <c r="BO970" s="158"/>
    </row>
    <row r="971" spans="1:67" ht="15" x14ac:dyDescent="0.25">
      <c r="A971" s="71"/>
      <c r="B971" s="11"/>
      <c r="C971" s="11"/>
      <c r="D971" s="11"/>
      <c r="E971" s="11"/>
      <c r="F971" s="11"/>
      <c r="G971" s="11"/>
      <c r="H971" s="11"/>
      <c r="I971" s="11"/>
      <c r="J971" s="249"/>
      <c r="K971" s="72"/>
      <c r="L971" s="73"/>
      <c r="M971" s="73"/>
      <c r="N971" s="74"/>
      <c r="O971" s="75"/>
      <c r="P971" s="73"/>
      <c r="Q971" s="76"/>
      <c r="R971" s="76"/>
      <c r="S971" s="76"/>
      <c r="T971" s="76"/>
      <c r="U971" s="76"/>
      <c r="V971" s="76"/>
      <c r="W971" s="76"/>
      <c r="X971" s="76"/>
      <c r="Y971" s="76"/>
      <c r="Z971" s="77"/>
      <c r="AA971" s="77"/>
      <c r="AB971" s="77"/>
      <c r="AC971" s="77"/>
      <c r="AD971" s="77"/>
      <c r="AE971" s="77"/>
      <c r="AF971" s="77"/>
      <c r="AG971" s="77"/>
      <c r="AH971" s="78"/>
      <c r="AI971" s="78"/>
      <c r="AJ971" s="78"/>
      <c r="AK971" s="78"/>
      <c r="AL971" s="78"/>
      <c r="AM971" s="78"/>
      <c r="AN971" s="76"/>
      <c r="AO971" s="76"/>
      <c r="AP971" s="76"/>
      <c r="AQ971" s="76"/>
      <c r="AR971" s="76"/>
      <c r="AS971" s="76"/>
      <c r="AT971" s="76"/>
      <c r="AU971" s="76"/>
      <c r="AV971" s="76"/>
      <c r="AW971" s="79"/>
      <c r="AX971" s="79"/>
      <c r="AY971" s="79"/>
      <c r="AZ971" s="79"/>
      <c r="BA971" s="79"/>
      <c r="BB971" s="11"/>
      <c r="BC971" s="11"/>
      <c r="BD971" s="11"/>
      <c r="BE971" s="73"/>
      <c r="BF971" s="73"/>
      <c r="BG971" s="73"/>
      <c r="BH971" s="77"/>
      <c r="BI971" s="77"/>
      <c r="BJ971" s="77"/>
      <c r="BK971" s="77"/>
      <c r="BL971" s="77"/>
      <c r="BM971" s="77"/>
      <c r="BN971" s="158"/>
      <c r="BO971" s="158"/>
    </row>
    <row r="972" spans="1:67" ht="15" x14ac:dyDescent="0.25">
      <c r="A972" s="71"/>
      <c r="B972" s="11"/>
      <c r="C972" s="11"/>
      <c r="D972" s="11"/>
      <c r="E972" s="11"/>
      <c r="F972" s="11"/>
      <c r="G972" s="11"/>
      <c r="H972" s="11"/>
      <c r="I972" s="11"/>
      <c r="J972" s="249"/>
      <c r="K972" s="72"/>
      <c r="L972" s="73"/>
      <c r="M972" s="73"/>
      <c r="N972" s="74"/>
      <c r="O972" s="75"/>
      <c r="P972" s="73"/>
      <c r="Q972" s="76"/>
      <c r="R972" s="76"/>
      <c r="S972" s="76"/>
      <c r="T972" s="76"/>
      <c r="U972" s="76"/>
      <c r="V972" s="76"/>
      <c r="W972" s="76"/>
      <c r="X972" s="76"/>
      <c r="Y972" s="76"/>
      <c r="Z972" s="77"/>
      <c r="AA972" s="77"/>
      <c r="AB972" s="77"/>
      <c r="AC972" s="77"/>
      <c r="AD972" s="77"/>
      <c r="AE972" s="77"/>
      <c r="AF972" s="77"/>
      <c r="AG972" s="77"/>
      <c r="AH972" s="78"/>
      <c r="AI972" s="78"/>
      <c r="AJ972" s="78"/>
      <c r="AK972" s="78"/>
      <c r="AL972" s="78"/>
      <c r="AM972" s="78"/>
      <c r="AN972" s="76"/>
      <c r="AO972" s="76"/>
      <c r="AP972" s="76"/>
      <c r="AQ972" s="76"/>
      <c r="AR972" s="76"/>
      <c r="AS972" s="76"/>
      <c r="AT972" s="76"/>
      <c r="AU972" s="76"/>
      <c r="AV972" s="76"/>
      <c r="AW972" s="79"/>
      <c r="AX972" s="79"/>
      <c r="AY972" s="79"/>
      <c r="AZ972" s="79"/>
      <c r="BA972" s="79"/>
      <c r="BB972" s="11"/>
      <c r="BC972" s="11"/>
      <c r="BD972" s="11"/>
      <c r="BE972" s="73"/>
      <c r="BF972" s="73"/>
      <c r="BG972" s="73"/>
      <c r="BH972" s="77"/>
      <c r="BI972" s="77"/>
      <c r="BJ972" s="77"/>
      <c r="BK972" s="77"/>
      <c r="BL972" s="77"/>
      <c r="BM972" s="77"/>
      <c r="BN972" s="158"/>
      <c r="BO972" s="158"/>
    </row>
    <row r="973" spans="1:67" ht="15" x14ac:dyDescent="0.25">
      <c r="A973" s="71"/>
      <c r="B973" s="11"/>
      <c r="C973" s="11"/>
      <c r="D973" s="11"/>
      <c r="E973" s="11"/>
      <c r="F973" s="11"/>
      <c r="G973" s="11"/>
      <c r="H973" s="11"/>
      <c r="I973" s="11"/>
      <c r="J973" s="249"/>
      <c r="K973" s="72"/>
      <c r="L973" s="73"/>
      <c r="M973" s="73"/>
      <c r="N973" s="74"/>
      <c r="O973" s="75"/>
      <c r="P973" s="73"/>
      <c r="Q973" s="76"/>
      <c r="R973" s="76"/>
      <c r="S973" s="76"/>
      <c r="T973" s="76"/>
      <c r="U973" s="76"/>
      <c r="V973" s="76"/>
      <c r="W973" s="76"/>
      <c r="X973" s="76"/>
      <c r="Y973" s="76"/>
      <c r="Z973" s="77"/>
      <c r="AA973" s="77"/>
      <c r="AB973" s="77"/>
      <c r="AC973" s="77"/>
      <c r="AD973" s="77"/>
      <c r="AE973" s="77"/>
      <c r="AF973" s="77"/>
      <c r="AG973" s="77"/>
      <c r="AH973" s="78"/>
      <c r="AI973" s="78"/>
      <c r="AJ973" s="78"/>
      <c r="AK973" s="78"/>
      <c r="AL973" s="78"/>
      <c r="AM973" s="78"/>
      <c r="AN973" s="76"/>
      <c r="AO973" s="76"/>
      <c r="AP973" s="76"/>
      <c r="AQ973" s="76"/>
      <c r="AR973" s="76"/>
      <c r="AS973" s="76"/>
      <c r="AT973" s="76"/>
      <c r="AU973" s="76"/>
      <c r="AV973" s="76"/>
      <c r="AW973" s="79"/>
      <c r="AX973" s="79"/>
      <c r="AY973" s="79"/>
      <c r="AZ973" s="79"/>
      <c r="BA973" s="79"/>
      <c r="BB973" s="11"/>
      <c r="BC973" s="11"/>
      <c r="BD973" s="11"/>
      <c r="BE973" s="73"/>
      <c r="BF973" s="73"/>
      <c r="BG973" s="73"/>
      <c r="BH973" s="77"/>
      <c r="BI973" s="77"/>
      <c r="BJ973" s="77"/>
      <c r="BK973" s="77"/>
      <c r="BL973" s="77"/>
      <c r="BM973" s="77"/>
      <c r="BN973" s="158"/>
      <c r="BO973" s="158"/>
    </row>
    <row r="974" spans="1:67" ht="15" x14ac:dyDescent="0.25">
      <c r="A974" s="71"/>
      <c r="B974" s="11"/>
      <c r="C974" s="11"/>
      <c r="D974" s="11"/>
      <c r="E974" s="11"/>
      <c r="F974" s="11"/>
      <c r="G974" s="11"/>
      <c r="H974" s="11"/>
      <c r="I974" s="11"/>
      <c r="J974" s="249"/>
      <c r="K974" s="72"/>
      <c r="L974" s="73"/>
      <c r="M974" s="73"/>
      <c r="N974" s="74"/>
      <c r="O974" s="75"/>
      <c r="P974" s="73"/>
      <c r="Q974" s="76"/>
      <c r="R974" s="76"/>
      <c r="S974" s="76"/>
      <c r="T974" s="76"/>
      <c r="U974" s="76"/>
      <c r="V974" s="76"/>
      <c r="W974" s="76"/>
      <c r="X974" s="76"/>
      <c r="Y974" s="76"/>
      <c r="Z974" s="77"/>
      <c r="AA974" s="77"/>
      <c r="AB974" s="77"/>
      <c r="AC974" s="77"/>
      <c r="AD974" s="77"/>
      <c r="AE974" s="77"/>
      <c r="AF974" s="77"/>
      <c r="AG974" s="77"/>
      <c r="AH974" s="78"/>
      <c r="AI974" s="78"/>
      <c r="AJ974" s="78"/>
      <c r="AK974" s="78"/>
      <c r="AL974" s="78"/>
      <c r="AM974" s="78"/>
      <c r="AN974" s="76"/>
      <c r="AO974" s="76"/>
      <c r="AP974" s="76"/>
      <c r="AQ974" s="76"/>
      <c r="AR974" s="76"/>
      <c r="AS974" s="76"/>
      <c r="AT974" s="76"/>
      <c r="AU974" s="76"/>
      <c r="AV974" s="76"/>
      <c r="AW974" s="79"/>
      <c r="AX974" s="79"/>
      <c r="AY974" s="79"/>
      <c r="AZ974" s="79"/>
      <c r="BA974" s="79"/>
      <c r="BB974" s="11"/>
      <c r="BC974" s="11"/>
      <c r="BD974" s="11"/>
      <c r="BE974" s="73"/>
      <c r="BF974" s="73"/>
      <c r="BG974" s="73"/>
      <c r="BH974" s="77"/>
      <c r="BI974" s="77"/>
      <c r="BJ974" s="77"/>
      <c r="BK974" s="77"/>
      <c r="BL974" s="77"/>
      <c r="BM974" s="77"/>
      <c r="BN974" s="158"/>
      <c r="BO974" s="158"/>
    </row>
    <row r="975" spans="1:67" ht="15" x14ac:dyDescent="0.25">
      <c r="A975" s="71"/>
      <c r="B975" s="11"/>
      <c r="C975" s="11"/>
      <c r="D975" s="11"/>
      <c r="E975" s="11"/>
      <c r="F975" s="11"/>
      <c r="G975" s="11"/>
      <c r="H975" s="11"/>
      <c r="I975" s="11"/>
      <c r="J975" s="249"/>
      <c r="K975" s="72"/>
      <c r="L975" s="73"/>
      <c r="M975" s="73"/>
      <c r="N975" s="74"/>
      <c r="O975" s="75"/>
      <c r="P975" s="73"/>
      <c r="Q975" s="76"/>
      <c r="R975" s="76"/>
      <c r="S975" s="76"/>
      <c r="T975" s="76"/>
      <c r="U975" s="76"/>
      <c r="V975" s="76"/>
      <c r="W975" s="76"/>
      <c r="X975" s="76"/>
      <c r="Y975" s="76"/>
      <c r="Z975" s="77"/>
      <c r="AA975" s="77"/>
      <c r="AB975" s="77"/>
      <c r="AC975" s="77"/>
      <c r="AD975" s="77"/>
      <c r="AE975" s="77"/>
      <c r="AF975" s="77"/>
      <c r="AG975" s="77"/>
      <c r="AH975" s="78"/>
      <c r="AI975" s="78"/>
      <c r="AJ975" s="78"/>
      <c r="AK975" s="78"/>
      <c r="AL975" s="78"/>
      <c r="AM975" s="78"/>
      <c r="AN975" s="76"/>
      <c r="AO975" s="76"/>
      <c r="AP975" s="76"/>
      <c r="AQ975" s="76"/>
      <c r="AR975" s="76"/>
      <c r="AS975" s="76"/>
      <c r="AT975" s="76"/>
      <c r="AU975" s="76"/>
      <c r="AV975" s="76"/>
      <c r="AW975" s="79"/>
      <c r="AX975" s="79"/>
      <c r="AY975" s="79"/>
      <c r="AZ975" s="79"/>
      <c r="BA975" s="79"/>
      <c r="BB975" s="11"/>
      <c r="BC975" s="11"/>
      <c r="BD975" s="11"/>
      <c r="BE975" s="73"/>
      <c r="BF975" s="73"/>
      <c r="BG975" s="73"/>
      <c r="BH975" s="77"/>
      <c r="BI975" s="77"/>
      <c r="BJ975" s="77"/>
      <c r="BK975" s="77"/>
      <c r="BL975" s="77"/>
      <c r="BM975" s="77"/>
      <c r="BN975" s="158"/>
      <c r="BO975" s="158"/>
    </row>
    <row r="976" spans="1:67" ht="15" x14ac:dyDescent="0.25">
      <c r="A976" s="71"/>
      <c r="B976" s="11"/>
      <c r="C976" s="11"/>
      <c r="D976" s="11"/>
      <c r="E976" s="11"/>
      <c r="F976" s="11"/>
      <c r="G976" s="11"/>
      <c r="H976" s="11"/>
      <c r="I976" s="11"/>
      <c r="J976" s="249"/>
      <c r="K976" s="72"/>
      <c r="L976" s="73"/>
      <c r="M976" s="73"/>
      <c r="N976" s="74"/>
      <c r="O976" s="75"/>
      <c r="P976" s="73"/>
      <c r="Q976" s="76"/>
      <c r="R976" s="76"/>
      <c r="S976" s="76"/>
      <c r="T976" s="76"/>
      <c r="U976" s="76"/>
      <c r="V976" s="76"/>
      <c r="W976" s="76"/>
      <c r="X976" s="76"/>
      <c r="Y976" s="76"/>
      <c r="Z976" s="77"/>
      <c r="AA976" s="77"/>
      <c r="AB976" s="77"/>
      <c r="AC976" s="77"/>
      <c r="AD976" s="77"/>
      <c r="AE976" s="77"/>
      <c r="AF976" s="77"/>
      <c r="AG976" s="77"/>
      <c r="AH976" s="78"/>
      <c r="AI976" s="78"/>
      <c r="AJ976" s="78"/>
      <c r="AK976" s="78"/>
      <c r="AL976" s="78"/>
      <c r="AM976" s="78"/>
      <c r="AN976" s="76"/>
      <c r="AO976" s="76"/>
      <c r="AP976" s="76"/>
      <c r="AQ976" s="76"/>
      <c r="AR976" s="76"/>
      <c r="AS976" s="76"/>
      <c r="AT976" s="76"/>
      <c r="AU976" s="76"/>
      <c r="AV976" s="76"/>
      <c r="AW976" s="79"/>
      <c r="AX976" s="79"/>
      <c r="AY976" s="79"/>
      <c r="AZ976" s="79"/>
      <c r="BA976" s="79"/>
      <c r="BB976" s="11"/>
      <c r="BC976" s="11"/>
      <c r="BD976" s="11"/>
      <c r="BE976" s="73"/>
      <c r="BF976" s="73"/>
      <c r="BG976" s="73"/>
      <c r="BH976" s="77"/>
      <c r="BI976" s="77"/>
      <c r="BJ976" s="77"/>
      <c r="BK976" s="77"/>
      <c r="BL976" s="77"/>
      <c r="BM976" s="77"/>
      <c r="BN976" s="158"/>
      <c r="BO976" s="158"/>
    </row>
    <row r="977" spans="1:67" ht="15" x14ac:dyDescent="0.25">
      <c r="A977" s="71"/>
      <c r="B977" s="11"/>
      <c r="C977" s="11"/>
      <c r="D977" s="11"/>
      <c r="E977" s="11"/>
      <c r="F977" s="11"/>
      <c r="G977" s="11"/>
      <c r="H977" s="11"/>
      <c r="I977" s="11"/>
      <c r="J977" s="249"/>
      <c r="K977" s="72"/>
      <c r="L977" s="73"/>
      <c r="M977" s="73"/>
      <c r="N977" s="74"/>
      <c r="O977" s="75"/>
      <c r="P977" s="73"/>
      <c r="Q977" s="76"/>
      <c r="R977" s="76"/>
      <c r="S977" s="76"/>
      <c r="T977" s="76"/>
      <c r="U977" s="76"/>
      <c r="V977" s="76"/>
      <c r="W977" s="76"/>
      <c r="X977" s="76"/>
      <c r="Y977" s="76"/>
      <c r="Z977" s="77"/>
      <c r="AA977" s="77"/>
      <c r="AB977" s="77"/>
      <c r="AC977" s="77"/>
      <c r="AD977" s="77"/>
      <c r="AE977" s="77"/>
      <c r="AF977" s="77"/>
      <c r="AG977" s="77"/>
      <c r="AH977" s="78"/>
      <c r="AI977" s="78"/>
      <c r="AJ977" s="78"/>
      <c r="AK977" s="78"/>
      <c r="AL977" s="78"/>
      <c r="AM977" s="78"/>
      <c r="AN977" s="76"/>
      <c r="AO977" s="76"/>
      <c r="AP977" s="76"/>
      <c r="AQ977" s="76"/>
      <c r="AR977" s="76"/>
      <c r="AS977" s="76"/>
      <c r="AT977" s="76"/>
      <c r="AU977" s="76"/>
      <c r="AV977" s="76"/>
      <c r="AW977" s="79"/>
      <c r="AX977" s="79"/>
      <c r="AY977" s="79"/>
      <c r="AZ977" s="79"/>
      <c r="BA977" s="79"/>
      <c r="BB977" s="11"/>
      <c r="BC977" s="11"/>
      <c r="BD977" s="11"/>
      <c r="BE977" s="73"/>
      <c r="BF977" s="73"/>
      <c r="BG977" s="73"/>
      <c r="BH977" s="77"/>
      <c r="BI977" s="77"/>
      <c r="BJ977" s="77"/>
      <c r="BK977" s="77"/>
      <c r="BL977" s="77"/>
      <c r="BM977" s="77"/>
      <c r="BN977" s="158"/>
      <c r="BO977" s="158"/>
    </row>
    <row r="978" spans="1:67" ht="15" x14ac:dyDescent="0.25">
      <c r="A978" s="71"/>
      <c r="B978" s="11"/>
      <c r="C978" s="11"/>
      <c r="D978" s="11"/>
      <c r="E978" s="11"/>
      <c r="F978" s="11"/>
      <c r="G978" s="11"/>
      <c r="H978" s="11"/>
      <c r="I978" s="11"/>
      <c r="J978" s="249"/>
      <c r="K978" s="72"/>
      <c r="L978" s="73"/>
      <c r="M978" s="73"/>
      <c r="N978" s="74"/>
      <c r="O978" s="75"/>
      <c r="P978" s="73"/>
      <c r="Q978" s="76"/>
      <c r="R978" s="76"/>
      <c r="S978" s="76"/>
      <c r="T978" s="76"/>
      <c r="U978" s="76"/>
      <c r="V978" s="76"/>
      <c r="W978" s="76"/>
      <c r="X978" s="76"/>
      <c r="Y978" s="76"/>
      <c r="Z978" s="77"/>
      <c r="AA978" s="77"/>
      <c r="AB978" s="77"/>
      <c r="AC978" s="77"/>
      <c r="AD978" s="77"/>
      <c r="AE978" s="77"/>
      <c r="AF978" s="77"/>
      <c r="AG978" s="77"/>
      <c r="AH978" s="78"/>
      <c r="AI978" s="78"/>
      <c r="AJ978" s="78"/>
      <c r="AK978" s="78"/>
      <c r="AL978" s="78"/>
      <c r="AM978" s="78"/>
      <c r="AN978" s="76"/>
      <c r="AO978" s="76"/>
      <c r="AP978" s="76"/>
      <c r="AQ978" s="76"/>
      <c r="AR978" s="76"/>
      <c r="AS978" s="76"/>
      <c r="AT978" s="76"/>
      <c r="AU978" s="76"/>
      <c r="AV978" s="76"/>
      <c r="AW978" s="79"/>
      <c r="AX978" s="79"/>
      <c r="AY978" s="79"/>
      <c r="AZ978" s="79"/>
      <c r="BA978" s="79"/>
      <c r="BB978" s="11"/>
      <c r="BC978" s="11"/>
      <c r="BD978" s="11"/>
      <c r="BE978" s="73"/>
      <c r="BF978" s="73"/>
      <c r="BG978" s="73"/>
      <c r="BH978" s="77"/>
      <c r="BI978" s="77"/>
      <c r="BJ978" s="77"/>
      <c r="BK978" s="77"/>
      <c r="BL978" s="77"/>
      <c r="BM978" s="77"/>
      <c r="BN978" s="158"/>
      <c r="BO978" s="158"/>
    </row>
    <row r="979" spans="1:67" ht="15" x14ac:dyDescent="0.25">
      <c r="A979" s="71"/>
      <c r="B979" s="11"/>
      <c r="C979" s="11"/>
      <c r="D979" s="11"/>
      <c r="E979" s="11"/>
      <c r="F979" s="11"/>
      <c r="G979" s="11"/>
      <c r="H979" s="11"/>
      <c r="I979" s="11"/>
      <c r="J979" s="249"/>
      <c r="K979" s="72"/>
      <c r="L979" s="73"/>
      <c r="M979" s="73"/>
      <c r="N979" s="74"/>
      <c r="O979" s="75"/>
      <c r="P979" s="73"/>
      <c r="Q979" s="76"/>
      <c r="R979" s="76"/>
      <c r="S979" s="76"/>
      <c r="T979" s="76"/>
      <c r="U979" s="76"/>
      <c r="V979" s="76"/>
      <c r="W979" s="76"/>
      <c r="X979" s="76"/>
      <c r="Y979" s="76"/>
      <c r="Z979" s="77"/>
      <c r="AA979" s="77"/>
      <c r="AB979" s="77"/>
      <c r="AC979" s="77"/>
      <c r="AD979" s="77"/>
      <c r="AE979" s="77"/>
      <c r="AF979" s="77"/>
      <c r="AG979" s="77"/>
      <c r="AH979" s="78"/>
      <c r="AI979" s="78"/>
      <c r="AJ979" s="78"/>
      <c r="AK979" s="78"/>
      <c r="AL979" s="78"/>
      <c r="AM979" s="78"/>
      <c r="AN979" s="76"/>
      <c r="AO979" s="76"/>
      <c r="AP979" s="76"/>
      <c r="AQ979" s="76"/>
      <c r="AR979" s="76"/>
      <c r="AS979" s="76"/>
      <c r="AT979" s="76"/>
      <c r="AU979" s="76"/>
      <c r="AV979" s="76"/>
      <c r="AW979" s="79"/>
      <c r="AX979" s="79"/>
      <c r="AY979" s="79"/>
      <c r="AZ979" s="79"/>
      <c r="BA979" s="79"/>
      <c r="BB979" s="11"/>
      <c r="BC979" s="11"/>
      <c r="BD979" s="11"/>
      <c r="BE979" s="73"/>
      <c r="BF979" s="73"/>
      <c r="BG979" s="73"/>
      <c r="BH979" s="77"/>
      <c r="BI979" s="77"/>
      <c r="BJ979" s="77"/>
      <c r="BK979" s="77"/>
      <c r="BL979" s="77"/>
      <c r="BM979" s="77"/>
      <c r="BN979" s="158"/>
      <c r="BO979" s="158"/>
    </row>
    <row r="980" spans="1:67" ht="15" x14ac:dyDescent="0.25">
      <c r="A980" s="71"/>
      <c r="B980" s="11"/>
      <c r="C980" s="11"/>
      <c r="D980" s="11"/>
      <c r="E980" s="11"/>
      <c r="F980" s="11"/>
      <c r="G980" s="11"/>
      <c r="H980" s="11"/>
      <c r="I980" s="11"/>
      <c r="J980" s="249"/>
      <c r="K980" s="72"/>
      <c r="L980" s="73"/>
      <c r="M980" s="73"/>
      <c r="N980" s="74"/>
      <c r="O980" s="75"/>
      <c r="P980" s="73"/>
      <c r="Q980" s="76"/>
      <c r="R980" s="76"/>
      <c r="S980" s="76"/>
      <c r="T980" s="76"/>
      <c r="U980" s="76"/>
      <c r="V980" s="76"/>
      <c r="W980" s="76"/>
      <c r="X980" s="76"/>
      <c r="Y980" s="76"/>
      <c r="Z980" s="77"/>
      <c r="AA980" s="77"/>
      <c r="AB980" s="77"/>
      <c r="AC980" s="77"/>
      <c r="AD980" s="77"/>
      <c r="AE980" s="77"/>
      <c r="AF980" s="77"/>
      <c r="AG980" s="77"/>
      <c r="AH980" s="78"/>
      <c r="AI980" s="78"/>
      <c r="AJ980" s="78"/>
      <c r="AK980" s="78"/>
      <c r="AL980" s="78"/>
      <c r="AM980" s="78"/>
      <c r="AN980" s="76"/>
      <c r="AO980" s="76"/>
      <c r="AP980" s="76"/>
      <c r="AQ980" s="76"/>
      <c r="AR980" s="76"/>
      <c r="AS980" s="76"/>
      <c r="AT980" s="76"/>
      <c r="AU980" s="76"/>
      <c r="AV980" s="76"/>
      <c r="AW980" s="79"/>
      <c r="AX980" s="79"/>
      <c r="AY980" s="79"/>
      <c r="AZ980" s="79"/>
      <c r="BA980" s="79"/>
      <c r="BB980" s="11"/>
      <c r="BC980" s="11"/>
      <c r="BD980" s="11"/>
      <c r="BE980" s="73"/>
      <c r="BF980" s="73"/>
      <c r="BG980" s="73"/>
      <c r="BH980" s="77"/>
      <c r="BI980" s="77"/>
      <c r="BJ980" s="77"/>
      <c r="BK980" s="77"/>
      <c r="BL980" s="77"/>
      <c r="BM980" s="77"/>
      <c r="BN980" s="158"/>
      <c r="BO980" s="158"/>
    </row>
    <row r="981" spans="1:67" ht="15" x14ac:dyDescent="0.25">
      <c r="A981" s="71"/>
      <c r="B981" s="11"/>
      <c r="C981" s="11"/>
      <c r="D981" s="11"/>
      <c r="E981" s="11"/>
      <c r="F981" s="11"/>
      <c r="G981" s="11"/>
      <c r="H981" s="11"/>
      <c r="I981" s="11"/>
      <c r="J981" s="249"/>
      <c r="K981" s="72"/>
      <c r="L981" s="73"/>
      <c r="M981" s="73"/>
      <c r="N981" s="74"/>
      <c r="O981" s="75"/>
      <c r="P981" s="73"/>
      <c r="Q981" s="76"/>
      <c r="R981" s="76"/>
      <c r="S981" s="76"/>
      <c r="T981" s="76"/>
      <c r="U981" s="76"/>
      <c r="V981" s="76"/>
      <c r="W981" s="76"/>
      <c r="X981" s="76"/>
      <c r="Y981" s="76"/>
      <c r="Z981" s="77"/>
      <c r="AA981" s="77"/>
      <c r="AB981" s="77"/>
      <c r="AC981" s="77"/>
      <c r="AD981" s="77"/>
      <c r="AE981" s="77"/>
      <c r="AF981" s="77"/>
      <c r="AG981" s="77"/>
      <c r="AH981" s="78"/>
      <c r="AI981" s="78"/>
      <c r="AJ981" s="78"/>
      <c r="AK981" s="78"/>
      <c r="AL981" s="78"/>
      <c r="AM981" s="78"/>
      <c r="AN981" s="76"/>
      <c r="AO981" s="76"/>
      <c r="AP981" s="76"/>
      <c r="AQ981" s="76"/>
      <c r="AR981" s="76"/>
      <c r="AS981" s="76"/>
      <c r="AT981" s="76"/>
      <c r="AU981" s="76"/>
      <c r="AV981" s="76"/>
      <c r="AW981" s="79"/>
      <c r="AX981" s="79"/>
      <c r="AY981" s="79"/>
      <c r="AZ981" s="79"/>
      <c r="BA981" s="79"/>
      <c r="BB981" s="11"/>
      <c r="BC981" s="11"/>
      <c r="BD981" s="11"/>
      <c r="BE981" s="73"/>
      <c r="BF981" s="73"/>
      <c r="BG981" s="73"/>
      <c r="BH981" s="77"/>
      <c r="BI981" s="77"/>
      <c r="BJ981" s="77"/>
      <c r="BK981" s="77"/>
      <c r="BL981" s="77"/>
      <c r="BM981" s="77"/>
      <c r="BN981" s="158"/>
      <c r="BO981" s="158"/>
    </row>
    <row r="982" spans="1:67" ht="15" x14ac:dyDescent="0.25">
      <c r="A982" s="71"/>
      <c r="B982" s="11"/>
      <c r="C982" s="11"/>
      <c r="D982" s="11"/>
      <c r="E982" s="11"/>
      <c r="F982" s="11"/>
      <c r="G982" s="11"/>
      <c r="H982" s="11"/>
      <c r="I982" s="11"/>
      <c r="J982" s="249"/>
      <c r="K982" s="72"/>
      <c r="L982" s="73"/>
      <c r="M982" s="73"/>
      <c r="N982" s="74"/>
      <c r="O982" s="75"/>
      <c r="P982" s="73"/>
      <c r="Q982" s="76"/>
      <c r="R982" s="76"/>
      <c r="S982" s="76"/>
      <c r="T982" s="76"/>
      <c r="U982" s="76"/>
      <c r="V982" s="76"/>
      <c r="W982" s="76"/>
      <c r="X982" s="76"/>
      <c r="Y982" s="76"/>
      <c r="Z982" s="77"/>
      <c r="AA982" s="77"/>
      <c r="AB982" s="77"/>
      <c r="AC982" s="77"/>
      <c r="AD982" s="77"/>
      <c r="AE982" s="77"/>
      <c r="AF982" s="77"/>
      <c r="AG982" s="77"/>
      <c r="AH982" s="78"/>
      <c r="AI982" s="78"/>
      <c r="AJ982" s="78"/>
      <c r="AK982" s="78"/>
      <c r="AL982" s="78"/>
      <c r="AM982" s="78"/>
      <c r="AN982" s="76"/>
      <c r="AO982" s="76"/>
      <c r="AP982" s="76"/>
      <c r="AQ982" s="76"/>
      <c r="AR982" s="76"/>
      <c r="AS982" s="76"/>
      <c r="AT982" s="76"/>
      <c r="AU982" s="76"/>
      <c r="AV982" s="76"/>
      <c r="AW982" s="79"/>
      <c r="AX982" s="79"/>
      <c r="AY982" s="79"/>
      <c r="AZ982" s="79"/>
      <c r="BA982" s="79"/>
      <c r="BB982" s="11"/>
      <c r="BC982" s="11"/>
      <c r="BD982" s="11"/>
      <c r="BE982" s="73"/>
      <c r="BF982" s="73"/>
      <c r="BG982" s="73"/>
      <c r="BH982" s="77"/>
      <c r="BI982" s="77"/>
      <c r="BJ982" s="77"/>
      <c r="BK982" s="77"/>
      <c r="BL982" s="77"/>
      <c r="BM982" s="77"/>
      <c r="BN982" s="158"/>
      <c r="BO982" s="158"/>
    </row>
    <row r="983" spans="1:67" ht="15" x14ac:dyDescent="0.25">
      <c r="A983" s="71"/>
      <c r="B983" s="11"/>
      <c r="C983" s="11"/>
      <c r="D983" s="11"/>
      <c r="E983" s="11"/>
      <c r="F983" s="11"/>
      <c r="G983" s="11"/>
      <c r="H983" s="11"/>
      <c r="I983" s="11"/>
      <c r="J983" s="249"/>
      <c r="K983" s="72"/>
      <c r="L983" s="73"/>
      <c r="M983" s="73"/>
      <c r="N983" s="74"/>
      <c r="O983" s="75"/>
      <c r="P983" s="73"/>
      <c r="Q983" s="76"/>
      <c r="R983" s="76"/>
      <c r="S983" s="76"/>
      <c r="T983" s="76"/>
      <c r="U983" s="76"/>
      <c r="V983" s="76"/>
      <c r="W983" s="76"/>
      <c r="X983" s="76"/>
      <c r="Y983" s="76"/>
      <c r="Z983" s="77"/>
      <c r="AA983" s="77"/>
      <c r="AB983" s="77"/>
      <c r="AC983" s="77"/>
      <c r="AD983" s="77"/>
      <c r="AE983" s="77"/>
      <c r="AF983" s="77"/>
      <c r="AG983" s="77"/>
      <c r="AH983" s="78"/>
      <c r="AI983" s="78"/>
      <c r="AJ983" s="78"/>
      <c r="AK983" s="78"/>
      <c r="AL983" s="78"/>
      <c r="AM983" s="78"/>
      <c r="AN983" s="76"/>
      <c r="AO983" s="76"/>
      <c r="AP983" s="76"/>
      <c r="AQ983" s="76"/>
      <c r="AR983" s="76"/>
      <c r="AS983" s="76"/>
      <c r="AT983" s="76"/>
      <c r="AU983" s="76"/>
      <c r="AV983" s="76"/>
      <c r="AW983" s="79"/>
      <c r="AX983" s="79"/>
      <c r="AY983" s="79"/>
      <c r="AZ983" s="79"/>
      <c r="BA983" s="79"/>
      <c r="BB983" s="11"/>
      <c r="BC983" s="11"/>
      <c r="BD983" s="11"/>
      <c r="BE983" s="73"/>
      <c r="BF983" s="73"/>
      <c r="BG983" s="73"/>
      <c r="BH983" s="77"/>
      <c r="BI983" s="77"/>
      <c r="BJ983" s="77"/>
      <c r="BK983" s="77"/>
      <c r="BL983" s="77"/>
      <c r="BM983" s="77"/>
      <c r="BN983" s="158"/>
      <c r="BO983" s="158"/>
    </row>
    <row r="984" spans="1:67" ht="15" x14ac:dyDescent="0.25">
      <c r="A984" s="71"/>
      <c r="B984" s="11"/>
      <c r="C984" s="11"/>
      <c r="D984" s="11"/>
      <c r="E984" s="11"/>
      <c r="F984" s="11"/>
      <c r="G984" s="11"/>
      <c r="H984" s="11"/>
      <c r="I984" s="11"/>
      <c r="J984" s="249"/>
      <c r="K984" s="72"/>
      <c r="L984" s="73"/>
      <c r="M984" s="73"/>
      <c r="N984" s="74"/>
      <c r="O984" s="75"/>
      <c r="P984" s="73"/>
      <c r="Q984" s="76"/>
      <c r="R984" s="76"/>
      <c r="S984" s="76"/>
      <c r="T984" s="76"/>
      <c r="U984" s="76"/>
      <c r="V984" s="76"/>
      <c r="W984" s="76"/>
      <c r="X984" s="76"/>
      <c r="Y984" s="76"/>
      <c r="Z984" s="77"/>
      <c r="AA984" s="77"/>
      <c r="AB984" s="77"/>
      <c r="AC984" s="77"/>
      <c r="AD984" s="77"/>
      <c r="AE984" s="77"/>
      <c r="AF984" s="77"/>
      <c r="AG984" s="77"/>
      <c r="AH984" s="78"/>
      <c r="AI984" s="78"/>
      <c r="AJ984" s="78"/>
      <c r="AK984" s="78"/>
      <c r="AL984" s="78"/>
      <c r="AM984" s="78"/>
      <c r="AN984" s="76"/>
      <c r="AO984" s="76"/>
      <c r="AP984" s="76"/>
      <c r="AQ984" s="76"/>
      <c r="AR984" s="76"/>
      <c r="AS984" s="76"/>
      <c r="AT984" s="76"/>
      <c r="AU984" s="76"/>
      <c r="AV984" s="76"/>
      <c r="AW984" s="79"/>
      <c r="AX984" s="79"/>
      <c r="AY984" s="79"/>
      <c r="AZ984" s="79"/>
      <c r="BA984" s="79"/>
      <c r="BB984" s="11"/>
      <c r="BC984" s="11"/>
      <c r="BD984" s="11"/>
      <c r="BE984" s="73"/>
      <c r="BF984" s="73"/>
      <c r="BG984" s="73"/>
      <c r="BH984" s="77"/>
      <c r="BI984" s="77"/>
      <c r="BJ984" s="77"/>
      <c r="BK984" s="77"/>
      <c r="BL984" s="77"/>
      <c r="BM984" s="77"/>
      <c r="BN984" s="158"/>
      <c r="BO984" s="158"/>
    </row>
    <row r="985" spans="1:67" ht="15" x14ac:dyDescent="0.25">
      <c r="A985" s="71"/>
      <c r="B985" s="11"/>
      <c r="C985" s="11"/>
      <c r="D985" s="11"/>
      <c r="E985" s="11"/>
      <c r="F985" s="11"/>
      <c r="G985" s="11"/>
      <c r="H985" s="11"/>
      <c r="I985" s="11"/>
      <c r="J985" s="249"/>
      <c r="K985" s="72"/>
      <c r="L985" s="73"/>
      <c r="M985" s="73"/>
      <c r="N985" s="74"/>
      <c r="O985" s="75"/>
      <c r="P985" s="73"/>
      <c r="Q985" s="76"/>
      <c r="R985" s="76"/>
      <c r="S985" s="76"/>
      <c r="T985" s="76"/>
      <c r="U985" s="76"/>
      <c r="V985" s="76"/>
      <c r="W985" s="76"/>
      <c r="X985" s="76"/>
      <c r="Y985" s="76"/>
      <c r="Z985" s="77"/>
      <c r="AA985" s="77"/>
      <c r="AB985" s="77"/>
      <c r="AC985" s="77"/>
      <c r="AD985" s="77"/>
      <c r="AE985" s="77"/>
      <c r="AF985" s="77"/>
      <c r="AG985" s="77"/>
      <c r="AH985" s="78"/>
      <c r="AI985" s="78"/>
      <c r="AJ985" s="78"/>
      <c r="AK985" s="78"/>
      <c r="AL985" s="78"/>
      <c r="AM985" s="78"/>
      <c r="AN985" s="76"/>
      <c r="AO985" s="76"/>
      <c r="AP985" s="76"/>
      <c r="AQ985" s="76"/>
      <c r="AR985" s="76"/>
      <c r="AS985" s="76"/>
      <c r="AT985" s="76"/>
      <c r="AU985" s="76"/>
      <c r="AV985" s="76"/>
      <c r="AW985" s="79"/>
      <c r="AX985" s="79"/>
      <c r="AY985" s="79"/>
      <c r="AZ985" s="79"/>
      <c r="BA985" s="79"/>
      <c r="BB985" s="11"/>
      <c r="BC985" s="11"/>
      <c r="BD985" s="11"/>
      <c r="BE985" s="73"/>
      <c r="BF985" s="73"/>
      <c r="BG985" s="73"/>
      <c r="BH985" s="77"/>
      <c r="BI985" s="77"/>
      <c r="BJ985" s="77"/>
      <c r="BK985" s="77"/>
      <c r="BL985" s="77"/>
      <c r="BM985" s="77"/>
      <c r="BN985" s="158"/>
      <c r="BO985" s="158"/>
    </row>
    <row r="986" spans="1:67" ht="15" x14ac:dyDescent="0.25">
      <c r="A986" s="71"/>
      <c r="B986" s="11"/>
      <c r="C986" s="11"/>
      <c r="D986" s="11"/>
      <c r="E986" s="11"/>
      <c r="F986" s="11"/>
      <c r="G986" s="11"/>
      <c r="H986" s="11"/>
      <c r="I986" s="11"/>
      <c r="J986" s="249"/>
      <c r="K986" s="72"/>
      <c r="L986" s="73"/>
      <c r="M986" s="73"/>
      <c r="N986" s="74"/>
      <c r="O986" s="75"/>
      <c r="P986" s="73"/>
      <c r="Q986" s="76"/>
      <c r="R986" s="76"/>
      <c r="S986" s="76"/>
      <c r="T986" s="76"/>
      <c r="U986" s="76"/>
      <c r="V986" s="76"/>
      <c r="W986" s="76"/>
      <c r="X986" s="76"/>
      <c r="Y986" s="76"/>
      <c r="Z986" s="77"/>
      <c r="AA986" s="77"/>
      <c r="AB986" s="77"/>
      <c r="AC986" s="77"/>
      <c r="AD986" s="77"/>
      <c r="AE986" s="77"/>
      <c r="AF986" s="77"/>
      <c r="AG986" s="77"/>
      <c r="AH986" s="78"/>
      <c r="AI986" s="78"/>
      <c r="AJ986" s="78"/>
      <c r="AK986" s="78"/>
      <c r="AL986" s="78"/>
      <c r="AM986" s="78"/>
      <c r="AN986" s="76"/>
      <c r="AO986" s="76"/>
      <c r="AP986" s="76"/>
      <c r="AQ986" s="76"/>
      <c r="AR986" s="76"/>
      <c r="AS986" s="76"/>
      <c r="AT986" s="76"/>
      <c r="AU986" s="76"/>
      <c r="AV986" s="76"/>
      <c r="AW986" s="79"/>
      <c r="AX986" s="79"/>
      <c r="AY986" s="79"/>
      <c r="AZ986" s="79"/>
      <c r="BA986" s="79"/>
      <c r="BB986" s="11"/>
      <c r="BC986" s="11"/>
      <c r="BD986" s="11"/>
      <c r="BE986" s="73"/>
      <c r="BF986" s="73"/>
      <c r="BG986" s="73"/>
      <c r="BH986" s="77"/>
      <c r="BI986" s="77"/>
      <c r="BJ986" s="77"/>
      <c r="BK986" s="77"/>
      <c r="BL986" s="77"/>
      <c r="BM986" s="77"/>
      <c r="BN986" s="158"/>
      <c r="BO986" s="158"/>
    </row>
    <row r="987" spans="1:67" ht="15" x14ac:dyDescent="0.25">
      <c r="A987" s="71"/>
      <c r="B987" s="11"/>
      <c r="C987" s="11"/>
      <c r="D987" s="11"/>
      <c r="E987" s="11"/>
      <c r="F987" s="11"/>
      <c r="G987" s="11"/>
      <c r="H987" s="11"/>
      <c r="I987" s="11"/>
      <c r="J987" s="249"/>
      <c r="K987" s="72"/>
      <c r="L987" s="73"/>
      <c r="M987" s="73"/>
      <c r="N987" s="74"/>
      <c r="O987" s="75"/>
      <c r="P987" s="73"/>
      <c r="Q987" s="76"/>
      <c r="R987" s="76"/>
      <c r="S987" s="76"/>
      <c r="T987" s="76"/>
      <c r="U987" s="76"/>
      <c r="V987" s="76"/>
      <c r="W987" s="76"/>
      <c r="X987" s="76"/>
      <c r="Y987" s="76"/>
      <c r="Z987" s="77"/>
      <c r="AA987" s="77"/>
      <c r="AB987" s="77"/>
      <c r="AC987" s="77"/>
      <c r="AD987" s="77"/>
      <c r="AE987" s="77"/>
      <c r="AF987" s="77"/>
      <c r="AG987" s="77"/>
      <c r="AH987" s="78"/>
      <c r="AI987" s="78"/>
      <c r="AJ987" s="78"/>
      <c r="AK987" s="78"/>
      <c r="AL987" s="78"/>
      <c r="AM987" s="78"/>
      <c r="AN987" s="76"/>
      <c r="AO987" s="76"/>
      <c r="AP987" s="76"/>
      <c r="AQ987" s="76"/>
      <c r="AR987" s="76"/>
      <c r="AS987" s="76"/>
      <c r="AT987" s="76"/>
      <c r="AU987" s="76"/>
      <c r="AV987" s="76"/>
      <c r="AW987" s="79"/>
      <c r="AX987" s="79"/>
      <c r="AY987" s="79"/>
      <c r="AZ987" s="79"/>
      <c r="BA987" s="79"/>
      <c r="BB987" s="11"/>
      <c r="BC987" s="11"/>
      <c r="BD987" s="11"/>
      <c r="BE987" s="73"/>
      <c r="BF987" s="73"/>
      <c r="BG987" s="73"/>
      <c r="BH987" s="77"/>
      <c r="BI987" s="77"/>
      <c r="BJ987" s="77"/>
      <c r="BK987" s="77"/>
      <c r="BL987" s="77"/>
      <c r="BM987" s="77"/>
      <c r="BN987" s="158"/>
      <c r="BO987" s="158"/>
    </row>
    <row r="988" spans="1:67" ht="15" x14ac:dyDescent="0.25">
      <c r="A988" s="71"/>
      <c r="B988" s="11"/>
      <c r="C988" s="11"/>
      <c r="D988" s="11"/>
      <c r="E988" s="11"/>
      <c r="F988" s="11"/>
      <c r="G988" s="11"/>
      <c r="H988" s="11"/>
      <c r="I988" s="11"/>
      <c r="J988" s="249"/>
      <c r="K988" s="72"/>
      <c r="L988" s="73"/>
      <c r="M988" s="73"/>
      <c r="N988" s="74"/>
      <c r="O988" s="75"/>
      <c r="P988" s="73"/>
      <c r="Q988" s="76"/>
      <c r="R988" s="76"/>
      <c r="S988" s="76"/>
      <c r="T988" s="76"/>
      <c r="U988" s="76"/>
      <c r="V988" s="76"/>
      <c r="W988" s="76"/>
      <c r="X988" s="76"/>
      <c r="Y988" s="76"/>
      <c r="Z988" s="77"/>
      <c r="AA988" s="77"/>
      <c r="AB988" s="77"/>
      <c r="AC988" s="77"/>
      <c r="AD988" s="77"/>
      <c r="AE988" s="77"/>
      <c r="AF988" s="77"/>
      <c r="AG988" s="77"/>
      <c r="AH988" s="78"/>
      <c r="AI988" s="78"/>
      <c r="AJ988" s="78"/>
      <c r="AK988" s="78"/>
      <c r="AL988" s="78"/>
      <c r="AM988" s="78"/>
      <c r="AN988" s="76"/>
      <c r="AO988" s="76"/>
      <c r="AP988" s="76"/>
      <c r="AQ988" s="76"/>
      <c r="AR988" s="76"/>
      <c r="AS988" s="76"/>
      <c r="AT988" s="76"/>
      <c r="AU988" s="76"/>
      <c r="AV988" s="76"/>
      <c r="AW988" s="79"/>
      <c r="AX988" s="79"/>
      <c r="AY988" s="79"/>
      <c r="AZ988" s="79"/>
      <c r="BA988" s="79"/>
      <c r="BB988" s="11"/>
      <c r="BC988" s="11"/>
      <c r="BD988" s="11"/>
      <c r="BE988" s="73"/>
      <c r="BF988" s="73"/>
      <c r="BG988" s="73"/>
      <c r="BH988" s="77"/>
      <c r="BI988" s="77"/>
      <c r="BJ988" s="77"/>
      <c r="BK988" s="77"/>
      <c r="BL988" s="77"/>
      <c r="BM988" s="77"/>
      <c r="BN988" s="158"/>
      <c r="BO988" s="158"/>
    </row>
    <row r="989" spans="1:67" ht="15" x14ac:dyDescent="0.25">
      <c r="A989" s="71"/>
      <c r="B989" s="11"/>
      <c r="C989" s="11"/>
      <c r="D989" s="11"/>
      <c r="E989" s="11"/>
      <c r="F989" s="11"/>
      <c r="G989" s="11"/>
      <c r="H989" s="11"/>
      <c r="I989" s="11"/>
      <c r="J989" s="249"/>
      <c r="K989" s="72"/>
      <c r="L989" s="73"/>
      <c r="M989" s="73"/>
      <c r="N989" s="74"/>
      <c r="O989" s="75"/>
      <c r="P989" s="73"/>
      <c r="Q989" s="76"/>
      <c r="R989" s="76"/>
      <c r="S989" s="76"/>
      <c r="T989" s="76"/>
      <c r="U989" s="76"/>
      <c r="V989" s="76"/>
      <c r="W989" s="76"/>
      <c r="X989" s="76"/>
      <c r="Y989" s="76"/>
      <c r="Z989" s="77"/>
      <c r="AA989" s="77"/>
      <c r="AB989" s="77"/>
      <c r="AC989" s="77"/>
      <c r="AD989" s="77"/>
      <c r="AE989" s="77"/>
      <c r="AF989" s="77"/>
      <c r="AG989" s="77"/>
      <c r="AH989" s="78"/>
      <c r="AI989" s="78"/>
      <c r="AJ989" s="78"/>
      <c r="AK989" s="78"/>
      <c r="AL989" s="78"/>
      <c r="AM989" s="78"/>
      <c r="AN989" s="76"/>
      <c r="AO989" s="76"/>
      <c r="AP989" s="76"/>
      <c r="AQ989" s="76"/>
      <c r="AR989" s="76"/>
      <c r="AS989" s="76"/>
      <c r="AT989" s="76"/>
      <c r="AU989" s="76"/>
      <c r="AV989" s="76"/>
      <c r="AW989" s="79"/>
      <c r="AX989" s="79"/>
      <c r="AY989" s="79"/>
      <c r="AZ989" s="79"/>
      <c r="BA989" s="79"/>
      <c r="BB989" s="11"/>
      <c r="BC989" s="11"/>
      <c r="BD989" s="11"/>
      <c r="BE989" s="73"/>
      <c r="BF989" s="73"/>
      <c r="BG989" s="73"/>
      <c r="BH989" s="77"/>
      <c r="BI989" s="77"/>
      <c r="BJ989" s="77"/>
      <c r="BK989" s="77"/>
      <c r="BL989" s="77"/>
      <c r="BM989" s="77"/>
      <c r="BN989" s="158"/>
      <c r="BO989" s="158"/>
    </row>
    <row r="990" spans="1:67" ht="15" x14ac:dyDescent="0.25">
      <c r="A990" s="71"/>
      <c r="B990" s="11"/>
      <c r="C990" s="11"/>
      <c r="D990" s="11"/>
      <c r="E990" s="11"/>
      <c r="F990" s="11"/>
      <c r="G990" s="11"/>
      <c r="H990" s="11"/>
      <c r="I990" s="11"/>
      <c r="J990" s="249"/>
      <c r="K990" s="72"/>
      <c r="L990" s="73"/>
      <c r="M990" s="73"/>
      <c r="N990" s="74"/>
      <c r="O990" s="75"/>
      <c r="P990" s="73"/>
      <c r="Q990" s="76"/>
      <c r="R990" s="76"/>
      <c r="S990" s="76"/>
      <c r="T990" s="76"/>
      <c r="U990" s="76"/>
      <c r="V990" s="76"/>
      <c r="W990" s="76"/>
      <c r="X990" s="76"/>
      <c r="Y990" s="76"/>
      <c r="Z990" s="77"/>
      <c r="AA990" s="77"/>
      <c r="AB990" s="77"/>
      <c r="AC990" s="77"/>
      <c r="AD990" s="77"/>
      <c r="AE990" s="77"/>
      <c r="AF990" s="77"/>
      <c r="AG990" s="77"/>
      <c r="AH990" s="78"/>
      <c r="AI990" s="78"/>
      <c r="AJ990" s="78"/>
      <c r="AK990" s="78"/>
      <c r="AL990" s="78"/>
      <c r="AM990" s="78"/>
      <c r="AN990" s="76"/>
      <c r="AO990" s="76"/>
      <c r="AP990" s="76"/>
      <c r="AQ990" s="76"/>
      <c r="AR990" s="76"/>
      <c r="AS990" s="76"/>
      <c r="AT990" s="76"/>
      <c r="AU990" s="76"/>
      <c r="AV990" s="76"/>
      <c r="AW990" s="79"/>
      <c r="AX990" s="79"/>
      <c r="AY990" s="79"/>
      <c r="AZ990" s="79"/>
      <c r="BA990" s="79"/>
      <c r="BB990" s="11"/>
      <c r="BC990" s="11"/>
      <c r="BD990" s="11"/>
      <c r="BE990" s="73"/>
      <c r="BF990" s="73"/>
      <c r="BG990" s="73"/>
      <c r="BH990" s="77"/>
      <c r="BI990" s="77"/>
      <c r="BJ990" s="77"/>
      <c r="BK990" s="77"/>
      <c r="BL990" s="77"/>
      <c r="BM990" s="77"/>
      <c r="BN990" s="158"/>
      <c r="BO990" s="158"/>
    </row>
    <row r="991" spans="1:67" ht="15" x14ac:dyDescent="0.25">
      <c r="A991" s="71"/>
      <c r="B991" s="11"/>
      <c r="C991" s="11"/>
      <c r="D991" s="11"/>
      <c r="E991" s="11"/>
      <c r="F991" s="11"/>
      <c r="G991" s="11"/>
      <c r="H991" s="11"/>
      <c r="I991" s="11"/>
      <c r="J991" s="249"/>
      <c r="K991" s="72"/>
      <c r="L991" s="73"/>
      <c r="M991" s="73"/>
      <c r="N991" s="74"/>
      <c r="O991" s="75"/>
      <c r="P991" s="73"/>
      <c r="Q991" s="76"/>
      <c r="R991" s="76"/>
      <c r="S991" s="76"/>
      <c r="T991" s="76"/>
      <c r="U991" s="76"/>
      <c r="V991" s="76"/>
      <c r="W991" s="76"/>
      <c r="X991" s="76"/>
      <c r="Y991" s="76"/>
      <c r="Z991" s="77"/>
      <c r="AA991" s="77"/>
      <c r="AB991" s="77"/>
      <c r="AC991" s="77"/>
      <c r="AD991" s="77"/>
      <c r="AE991" s="77"/>
      <c r="AF991" s="77"/>
      <c r="AG991" s="77"/>
      <c r="AH991" s="78"/>
      <c r="AI991" s="78"/>
      <c r="AJ991" s="78"/>
      <c r="AK991" s="78"/>
      <c r="AL991" s="78"/>
      <c r="AM991" s="78"/>
      <c r="AN991" s="76"/>
      <c r="AO991" s="76"/>
      <c r="AP991" s="76"/>
      <c r="AQ991" s="76"/>
      <c r="AR991" s="76"/>
      <c r="AS991" s="76"/>
      <c r="AT991" s="76"/>
      <c r="AU991" s="76"/>
      <c r="AV991" s="76"/>
      <c r="AW991" s="79"/>
      <c r="AX991" s="79"/>
      <c r="AY991" s="79"/>
      <c r="AZ991" s="79"/>
      <c r="BA991" s="79"/>
      <c r="BB991" s="11"/>
      <c r="BC991" s="11"/>
      <c r="BD991" s="11"/>
      <c r="BE991" s="73"/>
      <c r="BF991" s="73"/>
      <c r="BG991" s="73"/>
      <c r="BH991" s="77"/>
      <c r="BI991" s="77"/>
      <c r="BJ991" s="77"/>
      <c r="BK991" s="77"/>
      <c r="BL991" s="77"/>
      <c r="BM991" s="77"/>
      <c r="BN991" s="158"/>
      <c r="BO991" s="158"/>
    </row>
    <row r="992" spans="1:67" ht="15" x14ac:dyDescent="0.25">
      <c r="A992" s="71"/>
      <c r="B992" s="11"/>
      <c r="C992" s="11"/>
      <c r="D992" s="11"/>
      <c r="E992" s="11"/>
      <c r="F992" s="11"/>
      <c r="G992" s="11"/>
      <c r="H992" s="11"/>
      <c r="I992" s="11"/>
      <c r="J992" s="249"/>
      <c r="K992" s="72"/>
      <c r="L992" s="73"/>
      <c r="M992" s="73"/>
      <c r="N992" s="74"/>
      <c r="O992" s="75"/>
      <c r="P992" s="73"/>
      <c r="Q992" s="76"/>
      <c r="R992" s="76"/>
      <c r="S992" s="76"/>
      <c r="T992" s="76"/>
      <c r="U992" s="76"/>
      <c r="V992" s="76"/>
      <c r="W992" s="76"/>
      <c r="X992" s="76"/>
      <c r="Y992" s="76"/>
      <c r="Z992" s="77"/>
      <c r="AA992" s="77"/>
      <c r="AB992" s="77"/>
      <c r="AC992" s="77"/>
      <c r="AD992" s="77"/>
      <c r="AE992" s="77"/>
      <c r="AF992" s="77"/>
      <c r="AG992" s="77"/>
      <c r="AH992" s="78"/>
      <c r="AI992" s="78"/>
      <c r="AJ992" s="78"/>
      <c r="AK992" s="78"/>
      <c r="AL992" s="78"/>
      <c r="AM992" s="78"/>
      <c r="AN992" s="76"/>
      <c r="AO992" s="76"/>
      <c r="AP992" s="76"/>
      <c r="AQ992" s="76"/>
      <c r="AR992" s="76"/>
      <c r="AS992" s="76"/>
      <c r="AT992" s="76"/>
      <c r="AU992" s="76"/>
      <c r="AV992" s="76"/>
      <c r="AW992" s="79"/>
      <c r="AX992" s="79"/>
      <c r="AY992" s="79"/>
      <c r="AZ992" s="79"/>
      <c r="BA992" s="79"/>
      <c r="BB992" s="11"/>
      <c r="BC992" s="11"/>
      <c r="BD992" s="11"/>
      <c r="BE992" s="73"/>
      <c r="BF992" s="73"/>
      <c r="BG992" s="73"/>
      <c r="BH992" s="77"/>
      <c r="BI992" s="77"/>
      <c r="BJ992" s="77"/>
      <c r="BK992" s="77"/>
      <c r="BL992" s="77"/>
      <c r="BM992" s="77"/>
      <c r="BN992" s="158"/>
      <c r="BO992" s="158"/>
    </row>
    <row r="993" spans="1:67" ht="15" x14ac:dyDescent="0.25">
      <c r="A993" s="71"/>
      <c r="B993" s="11"/>
      <c r="C993" s="11"/>
      <c r="D993" s="11"/>
      <c r="E993" s="11"/>
      <c r="F993" s="11"/>
      <c r="G993" s="11"/>
      <c r="H993" s="11"/>
      <c r="I993" s="11"/>
      <c r="J993" s="249"/>
      <c r="K993" s="72"/>
      <c r="L993" s="73"/>
      <c r="M993" s="73"/>
      <c r="N993" s="74"/>
      <c r="O993" s="75"/>
      <c r="P993" s="73"/>
      <c r="Q993" s="76"/>
      <c r="R993" s="76"/>
      <c r="S993" s="76"/>
      <c r="T993" s="76"/>
      <c r="U993" s="76"/>
      <c r="V993" s="76"/>
      <c r="W993" s="76"/>
      <c r="X993" s="76"/>
      <c r="Y993" s="76"/>
      <c r="Z993" s="77"/>
      <c r="AA993" s="77"/>
      <c r="AB993" s="77"/>
      <c r="AC993" s="77"/>
      <c r="AD993" s="77"/>
      <c r="AE993" s="77"/>
      <c r="AF993" s="77"/>
      <c r="AG993" s="77"/>
      <c r="AH993" s="78"/>
      <c r="AI993" s="78"/>
      <c r="AJ993" s="78"/>
      <c r="AK993" s="78"/>
      <c r="AL993" s="78"/>
      <c r="AM993" s="78"/>
      <c r="AN993" s="76"/>
      <c r="AO993" s="76"/>
      <c r="AP993" s="76"/>
      <c r="AQ993" s="76"/>
      <c r="AR993" s="76"/>
      <c r="AS993" s="76"/>
      <c r="AT993" s="76"/>
      <c r="AU993" s="76"/>
      <c r="AV993" s="76"/>
      <c r="AW993" s="79"/>
      <c r="AX993" s="79"/>
      <c r="AY993" s="79"/>
      <c r="AZ993" s="79"/>
      <c r="BA993" s="79"/>
      <c r="BB993" s="11"/>
      <c r="BC993" s="11"/>
      <c r="BD993" s="11"/>
      <c r="BE993" s="73"/>
      <c r="BF993" s="73"/>
      <c r="BG993" s="73"/>
      <c r="BH993" s="77"/>
      <c r="BI993" s="77"/>
      <c r="BJ993" s="77"/>
      <c r="BK993" s="77"/>
      <c r="BL993" s="77"/>
      <c r="BM993" s="77"/>
      <c r="BN993" s="158"/>
      <c r="BO993" s="158"/>
    </row>
    <row r="994" spans="1:67" ht="15" x14ac:dyDescent="0.25">
      <c r="A994" s="71"/>
      <c r="B994" s="11"/>
      <c r="C994" s="11"/>
      <c r="D994" s="11"/>
      <c r="E994" s="11"/>
      <c r="F994" s="11"/>
      <c r="G994" s="11"/>
      <c r="H994" s="11"/>
      <c r="I994" s="11"/>
      <c r="J994" s="249"/>
      <c r="K994" s="72"/>
      <c r="L994" s="73"/>
      <c r="M994" s="73"/>
      <c r="N994" s="74"/>
      <c r="O994" s="75"/>
      <c r="P994" s="73"/>
      <c r="Q994" s="76"/>
      <c r="R994" s="76"/>
      <c r="S994" s="76"/>
      <c r="T994" s="76"/>
      <c r="U994" s="76"/>
      <c r="V994" s="76"/>
      <c r="W994" s="76"/>
      <c r="X994" s="76"/>
      <c r="Y994" s="76"/>
      <c r="Z994" s="77"/>
      <c r="AA994" s="77"/>
      <c r="AB994" s="77"/>
      <c r="AC994" s="77"/>
      <c r="AD994" s="77"/>
      <c r="AE994" s="77"/>
      <c r="AF994" s="77"/>
      <c r="AG994" s="77"/>
      <c r="AH994" s="78"/>
      <c r="AI994" s="78"/>
      <c r="AJ994" s="78"/>
      <c r="AK994" s="78"/>
      <c r="AL994" s="78"/>
      <c r="AM994" s="78"/>
      <c r="AN994" s="76"/>
      <c r="AO994" s="76"/>
      <c r="AP994" s="76"/>
      <c r="AQ994" s="76"/>
      <c r="AR994" s="76"/>
      <c r="AS994" s="76"/>
      <c r="AT994" s="76"/>
      <c r="AU994" s="76"/>
      <c r="AV994" s="76"/>
      <c r="AW994" s="79"/>
      <c r="AX994" s="79"/>
      <c r="AY994" s="79"/>
      <c r="AZ994" s="79"/>
      <c r="BA994" s="79"/>
      <c r="BB994" s="11"/>
      <c r="BC994" s="11"/>
      <c r="BD994" s="11"/>
      <c r="BE994" s="73"/>
      <c r="BF994" s="73"/>
      <c r="BG994" s="73"/>
      <c r="BH994" s="77"/>
      <c r="BI994" s="77"/>
      <c r="BJ994" s="77"/>
      <c r="BK994" s="77"/>
      <c r="BL994" s="77"/>
      <c r="BM994" s="77"/>
      <c r="BN994" s="158"/>
      <c r="BO994" s="158"/>
    </row>
    <row r="995" spans="1:67" ht="15" x14ac:dyDescent="0.25">
      <c r="A995" s="71"/>
      <c r="B995" s="11"/>
      <c r="C995" s="11"/>
      <c r="D995" s="11"/>
      <c r="E995" s="11"/>
      <c r="F995" s="11"/>
      <c r="G995" s="11"/>
      <c r="H995" s="11"/>
      <c r="I995" s="11"/>
      <c r="J995" s="249"/>
      <c r="K995" s="72"/>
      <c r="L995" s="73"/>
      <c r="M995" s="73"/>
      <c r="N995" s="74"/>
      <c r="O995" s="75"/>
      <c r="P995" s="73"/>
      <c r="Q995" s="76"/>
      <c r="R995" s="76"/>
      <c r="S995" s="76"/>
      <c r="T995" s="76"/>
      <c r="U995" s="76"/>
      <c r="V995" s="76"/>
      <c r="W995" s="76"/>
      <c r="X995" s="76"/>
      <c r="Y995" s="76"/>
      <c r="Z995" s="77"/>
      <c r="AA995" s="77"/>
      <c r="AB995" s="77"/>
      <c r="AC995" s="77"/>
      <c r="AD995" s="77"/>
      <c r="AE995" s="77"/>
      <c r="AF995" s="77"/>
      <c r="AG995" s="77"/>
      <c r="AH995" s="78"/>
      <c r="AI995" s="78"/>
      <c r="AJ995" s="78"/>
      <c r="AK995" s="78"/>
      <c r="AL995" s="78"/>
      <c r="AM995" s="78"/>
      <c r="AN995" s="76"/>
      <c r="AO995" s="76"/>
      <c r="AP995" s="76"/>
      <c r="AQ995" s="76"/>
      <c r="AR995" s="76"/>
      <c r="AS995" s="76"/>
      <c r="AT995" s="76"/>
      <c r="AU995" s="76"/>
      <c r="AV995" s="76"/>
      <c r="AW995" s="79"/>
      <c r="AX995" s="79"/>
      <c r="AY995" s="79"/>
      <c r="AZ995" s="79"/>
      <c r="BA995" s="79"/>
      <c r="BB995" s="11"/>
      <c r="BC995" s="11"/>
      <c r="BD995" s="11"/>
      <c r="BE995" s="73"/>
      <c r="BF995" s="73"/>
      <c r="BG995" s="73"/>
      <c r="BH995" s="77"/>
      <c r="BI995" s="77"/>
      <c r="BJ995" s="77"/>
      <c r="BK995" s="77"/>
      <c r="BL995" s="77"/>
      <c r="BM995" s="77"/>
      <c r="BN995" s="158"/>
      <c r="BO995" s="158"/>
    </row>
    <row r="996" spans="1:67" ht="15" x14ac:dyDescent="0.25">
      <c r="A996" s="71"/>
      <c r="B996" s="11"/>
      <c r="C996" s="11"/>
      <c r="D996" s="11"/>
      <c r="E996" s="11"/>
      <c r="F996" s="11"/>
      <c r="G996" s="11"/>
      <c r="H996" s="11"/>
      <c r="I996" s="11"/>
      <c r="J996" s="249"/>
      <c r="K996" s="72"/>
      <c r="L996" s="73"/>
      <c r="M996" s="73"/>
      <c r="N996" s="74"/>
      <c r="O996" s="75"/>
      <c r="P996" s="73"/>
      <c r="Q996" s="76"/>
      <c r="R996" s="76"/>
      <c r="S996" s="76"/>
      <c r="T996" s="76"/>
      <c r="U996" s="76"/>
      <c r="V996" s="76"/>
      <c r="W996" s="76"/>
      <c r="X996" s="76"/>
      <c r="Y996" s="76"/>
      <c r="Z996" s="77"/>
      <c r="AA996" s="77"/>
      <c r="AB996" s="77"/>
      <c r="AC996" s="77"/>
      <c r="AD996" s="77"/>
      <c r="AE996" s="77"/>
      <c r="AF996" s="77"/>
      <c r="AG996" s="77"/>
      <c r="AH996" s="78"/>
      <c r="AI996" s="78"/>
      <c r="AJ996" s="78"/>
      <c r="AK996" s="78"/>
      <c r="AL996" s="78"/>
      <c r="AM996" s="78"/>
      <c r="AN996" s="76"/>
      <c r="AO996" s="76"/>
      <c r="AP996" s="76"/>
      <c r="AQ996" s="76"/>
      <c r="AR996" s="76"/>
      <c r="AS996" s="76"/>
      <c r="AT996" s="76"/>
      <c r="AU996" s="76"/>
      <c r="AV996" s="76"/>
      <c r="AW996" s="79"/>
      <c r="AX996" s="79"/>
      <c r="AY996" s="79"/>
      <c r="AZ996" s="79"/>
      <c r="BA996" s="79"/>
      <c r="BB996" s="11"/>
      <c r="BC996" s="11"/>
      <c r="BD996" s="11"/>
      <c r="BE996" s="73"/>
      <c r="BF996" s="73"/>
      <c r="BG996" s="73"/>
      <c r="BH996" s="77"/>
      <c r="BI996" s="77"/>
      <c r="BJ996" s="77"/>
      <c r="BK996" s="77"/>
      <c r="BL996" s="77"/>
      <c r="BM996" s="77"/>
      <c r="BN996" s="158"/>
      <c r="BO996" s="158"/>
    </row>
    <row r="997" spans="1:67" ht="15" x14ac:dyDescent="0.25">
      <c r="A997" s="71"/>
      <c r="B997" s="11"/>
      <c r="C997" s="11"/>
      <c r="D997" s="11"/>
      <c r="E997" s="11"/>
      <c r="F997" s="11"/>
      <c r="G997" s="11"/>
      <c r="H997" s="11"/>
      <c r="I997" s="11"/>
      <c r="J997" s="249"/>
      <c r="K997" s="72"/>
      <c r="L997" s="73"/>
      <c r="M997" s="73"/>
      <c r="N997" s="74"/>
      <c r="O997" s="75"/>
      <c r="P997" s="73"/>
      <c r="Q997" s="76"/>
      <c r="R997" s="76"/>
      <c r="S997" s="76"/>
      <c r="T997" s="76"/>
      <c r="U997" s="76"/>
      <c r="V997" s="76"/>
      <c r="W997" s="76"/>
      <c r="X997" s="76"/>
      <c r="Y997" s="76"/>
      <c r="Z997" s="77"/>
      <c r="AA997" s="77"/>
      <c r="AB997" s="77"/>
      <c r="AC997" s="77"/>
      <c r="AD997" s="77"/>
      <c r="AE997" s="77"/>
      <c r="AF997" s="77"/>
      <c r="AG997" s="77"/>
      <c r="AH997" s="78"/>
      <c r="AI997" s="78"/>
      <c r="AJ997" s="78"/>
      <c r="AK997" s="78"/>
      <c r="AL997" s="78"/>
      <c r="AM997" s="78"/>
      <c r="AN997" s="76"/>
      <c r="AO997" s="76"/>
      <c r="AP997" s="76"/>
      <c r="AQ997" s="76"/>
      <c r="AR997" s="76"/>
      <c r="AS997" s="76"/>
      <c r="AT997" s="76"/>
      <c r="AU997" s="76"/>
      <c r="AV997" s="76"/>
      <c r="AW997" s="79"/>
      <c r="AX997" s="79"/>
      <c r="AY997" s="79"/>
      <c r="AZ997" s="79"/>
      <c r="BA997" s="79"/>
      <c r="BB997" s="11"/>
      <c r="BC997" s="11"/>
      <c r="BD997" s="11"/>
      <c r="BE997" s="73"/>
      <c r="BF997" s="73"/>
      <c r="BG997" s="73"/>
      <c r="BH997" s="77"/>
      <c r="BI997" s="77"/>
      <c r="BJ997" s="77"/>
      <c r="BK997" s="77"/>
      <c r="BL997" s="77"/>
      <c r="BM997" s="77"/>
      <c r="BN997" s="158"/>
      <c r="BO997" s="158"/>
    </row>
    <row r="998" spans="1:67" ht="15" x14ac:dyDescent="0.25">
      <c r="A998" s="71"/>
      <c r="B998" s="11"/>
      <c r="C998" s="11"/>
      <c r="D998" s="11"/>
      <c r="E998" s="11"/>
      <c r="F998" s="11"/>
      <c r="G998" s="11"/>
      <c r="H998" s="11"/>
      <c r="I998" s="11"/>
      <c r="J998" s="249"/>
      <c r="K998" s="72"/>
      <c r="L998" s="73"/>
      <c r="M998" s="73"/>
      <c r="N998" s="74"/>
      <c r="O998" s="75"/>
      <c r="P998" s="73"/>
      <c r="Q998" s="76"/>
      <c r="R998" s="76"/>
      <c r="S998" s="76"/>
      <c r="T998" s="76"/>
      <c r="U998" s="76"/>
      <c r="V998" s="76"/>
      <c r="W998" s="76"/>
      <c r="X998" s="76"/>
      <c r="Y998" s="76"/>
      <c r="Z998" s="77"/>
      <c r="AA998" s="77"/>
      <c r="AB998" s="77"/>
      <c r="AC998" s="77"/>
      <c r="AD998" s="77"/>
      <c r="AE998" s="77"/>
      <c r="AF998" s="77"/>
      <c r="AG998" s="77"/>
      <c r="AH998" s="78"/>
      <c r="AI998" s="78"/>
      <c r="AJ998" s="78"/>
      <c r="AK998" s="78"/>
      <c r="AL998" s="78"/>
      <c r="AM998" s="78"/>
      <c r="AN998" s="76"/>
      <c r="AO998" s="76"/>
      <c r="AP998" s="76"/>
      <c r="AQ998" s="76"/>
      <c r="AR998" s="76"/>
      <c r="AS998" s="76"/>
      <c r="AT998" s="76"/>
      <c r="AU998" s="76"/>
      <c r="AV998" s="76"/>
      <c r="AW998" s="79"/>
      <c r="AX998" s="79"/>
      <c r="AY998" s="79"/>
      <c r="AZ998" s="79"/>
      <c r="BA998" s="79"/>
      <c r="BB998" s="11"/>
      <c r="BC998" s="11"/>
      <c r="BD998" s="11"/>
      <c r="BE998" s="73"/>
      <c r="BF998" s="73"/>
      <c r="BG998" s="73"/>
      <c r="BH998" s="77"/>
      <c r="BI998" s="77"/>
      <c r="BJ998" s="77"/>
      <c r="BK998" s="77"/>
      <c r="BL998" s="77"/>
      <c r="BM998" s="77"/>
      <c r="BN998" s="158"/>
      <c r="BO998" s="158"/>
    </row>
    <row r="999" spans="1:67" ht="15" x14ac:dyDescent="0.25">
      <c r="A999" s="71"/>
      <c r="B999" s="11"/>
      <c r="C999" s="11"/>
      <c r="D999" s="11"/>
      <c r="E999" s="11"/>
      <c r="F999" s="11"/>
      <c r="G999" s="11"/>
      <c r="H999" s="11"/>
      <c r="I999" s="11"/>
      <c r="J999" s="249"/>
      <c r="K999" s="72"/>
      <c r="L999" s="73"/>
      <c r="M999" s="73"/>
      <c r="N999" s="74"/>
      <c r="O999" s="75"/>
      <c r="P999" s="73"/>
      <c r="Q999" s="76"/>
      <c r="R999" s="76"/>
      <c r="S999" s="76"/>
      <c r="T999" s="76"/>
      <c r="U999" s="76"/>
      <c r="V999" s="76"/>
      <c r="W999" s="76"/>
      <c r="X999" s="76"/>
      <c r="Y999" s="76"/>
      <c r="Z999" s="77"/>
      <c r="AA999" s="77"/>
      <c r="AB999" s="77"/>
      <c r="AC999" s="77"/>
      <c r="AD999" s="77"/>
      <c r="AE999" s="77"/>
      <c r="AF999" s="77"/>
      <c r="AG999" s="77"/>
      <c r="AH999" s="78"/>
      <c r="AI999" s="78"/>
      <c r="AJ999" s="78"/>
      <c r="AK999" s="78"/>
      <c r="AL999" s="78"/>
      <c r="AM999" s="78"/>
      <c r="AN999" s="76"/>
      <c r="AO999" s="76"/>
      <c r="AP999" s="76"/>
      <c r="AQ999" s="76"/>
      <c r="AR999" s="76"/>
      <c r="AS999" s="76"/>
      <c r="AT999" s="76"/>
      <c r="AU999" s="76"/>
      <c r="AV999" s="76"/>
      <c r="AW999" s="79"/>
      <c r="AX999" s="79"/>
      <c r="AY999" s="79"/>
      <c r="AZ999" s="79"/>
      <c r="BA999" s="79"/>
      <c r="BB999" s="11"/>
      <c r="BC999" s="11"/>
      <c r="BD999" s="11"/>
      <c r="BE999" s="73"/>
      <c r="BF999" s="73"/>
      <c r="BG999" s="73"/>
      <c r="BH999" s="77"/>
      <c r="BI999" s="77"/>
      <c r="BJ999" s="77"/>
      <c r="BK999" s="77"/>
      <c r="BL999" s="77"/>
      <c r="BM999" s="77"/>
      <c r="BN999" s="158"/>
      <c r="BO999" s="158"/>
    </row>
    <row r="1000" spans="1:67" ht="15" x14ac:dyDescent="0.25">
      <c r="A1000" s="71"/>
      <c r="B1000" s="11"/>
      <c r="C1000" s="11"/>
      <c r="D1000" s="11"/>
      <c r="E1000" s="11"/>
      <c r="F1000" s="11"/>
      <c r="G1000" s="11"/>
      <c r="H1000" s="11"/>
      <c r="I1000" s="11"/>
      <c r="J1000" s="249"/>
      <c r="K1000" s="73"/>
      <c r="L1000" s="75"/>
      <c r="M1000" s="73"/>
      <c r="N1000" s="74"/>
      <c r="O1000" s="75"/>
      <c r="P1000" s="73"/>
      <c r="Q1000" s="76"/>
      <c r="R1000" s="76"/>
      <c r="S1000" s="76"/>
      <c r="T1000" s="76"/>
      <c r="U1000" s="76"/>
      <c r="V1000" s="76"/>
      <c r="W1000" s="76"/>
      <c r="X1000" s="76"/>
      <c r="Y1000" s="76"/>
      <c r="Z1000" s="77"/>
      <c r="AA1000" s="77"/>
      <c r="AB1000" s="77"/>
      <c r="AC1000" s="77"/>
      <c r="AD1000" s="77"/>
      <c r="AE1000" s="77"/>
      <c r="AF1000" s="77"/>
      <c r="AG1000" s="77"/>
      <c r="AH1000" s="78"/>
      <c r="AI1000" s="78"/>
      <c r="AJ1000" s="78"/>
      <c r="AK1000" s="78"/>
      <c r="AL1000" s="78"/>
      <c r="AM1000" s="78"/>
      <c r="AN1000" s="76"/>
      <c r="AO1000" s="76"/>
      <c r="AP1000" s="76"/>
      <c r="AQ1000" s="76"/>
      <c r="AR1000" s="76"/>
      <c r="AS1000" s="76"/>
      <c r="AT1000" s="76"/>
      <c r="AU1000" s="76"/>
      <c r="AV1000" s="76"/>
      <c r="AW1000" s="79"/>
      <c r="AX1000" s="79"/>
      <c r="AY1000" s="79"/>
      <c r="AZ1000" s="79"/>
      <c r="BA1000" s="79"/>
      <c r="BB1000" s="11"/>
      <c r="BC1000" s="11"/>
      <c r="BD1000" s="11"/>
      <c r="BE1000" s="73"/>
      <c r="BF1000" s="73"/>
      <c r="BG1000" s="73"/>
      <c r="BH1000" s="77"/>
      <c r="BI1000" s="77"/>
      <c r="BJ1000" s="77"/>
      <c r="BK1000" s="77"/>
      <c r="BL1000" s="77"/>
      <c r="BM1000" s="77"/>
      <c r="BN1000" s="158"/>
      <c r="BO1000" s="158"/>
    </row>
    <row r="1001" spans="1:67" ht="15" x14ac:dyDescent="0.25">
      <c r="A1001" s="71"/>
      <c r="B1001" s="11"/>
      <c r="C1001" s="11"/>
      <c r="D1001" s="11"/>
      <c r="E1001" s="11"/>
      <c r="F1001" s="11"/>
      <c r="G1001" s="11"/>
      <c r="H1001" s="11"/>
      <c r="I1001" s="11"/>
      <c r="J1001" s="249"/>
      <c r="K1001" s="73"/>
      <c r="L1001" s="75"/>
      <c r="M1001" s="73"/>
      <c r="N1001" s="74"/>
      <c r="O1001" s="75"/>
      <c r="P1001" s="73"/>
      <c r="Q1001" s="76"/>
      <c r="R1001" s="76"/>
      <c r="S1001" s="76"/>
      <c r="T1001" s="76"/>
      <c r="U1001" s="76"/>
      <c r="V1001" s="76"/>
      <c r="W1001" s="76"/>
      <c r="X1001" s="76"/>
      <c r="Y1001" s="76"/>
      <c r="Z1001" s="77"/>
      <c r="AA1001" s="77"/>
      <c r="AB1001" s="77"/>
      <c r="AC1001" s="77"/>
      <c r="AD1001" s="77"/>
      <c r="AE1001" s="77"/>
      <c r="AF1001" s="77"/>
      <c r="AG1001" s="77"/>
      <c r="AH1001" s="78"/>
      <c r="AI1001" s="78"/>
      <c r="AJ1001" s="78"/>
      <c r="AK1001" s="78"/>
      <c r="AL1001" s="78"/>
      <c r="AM1001" s="78"/>
      <c r="AN1001" s="76"/>
      <c r="AO1001" s="76"/>
      <c r="AP1001" s="76"/>
      <c r="AQ1001" s="76"/>
      <c r="AR1001" s="76"/>
      <c r="AS1001" s="76"/>
      <c r="AT1001" s="76"/>
      <c r="AU1001" s="76"/>
      <c r="AV1001" s="76"/>
      <c r="AW1001" s="79"/>
      <c r="AX1001" s="79"/>
      <c r="AY1001" s="79"/>
      <c r="AZ1001" s="79"/>
      <c r="BA1001" s="79"/>
      <c r="BB1001" s="11"/>
      <c r="BC1001" s="11"/>
      <c r="BD1001" s="11"/>
      <c r="BE1001" s="73"/>
      <c r="BF1001" s="73"/>
      <c r="BG1001" s="73"/>
      <c r="BH1001" s="77"/>
      <c r="BI1001" s="77"/>
      <c r="BJ1001" s="77"/>
      <c r="BK1001" s="77"/>
      <c r="BL1001" s="77"/>
      <c r="BM1001" s="77"/>
      <c r="BN1001" s="158"/>
      <c r="BO1001" s="158"/>
    </row>
    <row r="1002" spans="1:67" ht="15" x14ac:dyDescent="0.25">
      <c r="A1002" s="71"/>
      <c r="B1002" s="11"/>
      <c r="C1002" s="11"/>
      <c r="D1002" s="11"/>
      <c r="E1002" s="11"/>
      <c r="F1002" s="11"/>
      <c r="G1002" s="11"/>
      <c r="H1002" s="11"/>
      <c r="I1002" s="11"/>
      <c r="J1002" s="249"/>
      <c r="K1002" s="73"/>
      <c r="L1002" s="75"/>
      <c r="M1002" s="73"/>
      <c r="N1002" s="74"/>
      <c r="O1002" s="75"/>
      <c r="P1002" s="73"/>
      <c r="Q1002" s="76"/>
      <c r="R1002" s="76"/>
      <c r="S1002" s="76"/>
      <c r="T1002" s="76"/>
      <c r="U1002" s="76"/>
      <c r="V1002" s="76"/>
      <c r="W1002" s="76"/>
      <c r="X1002" s="76"/>
      <c r="Y1002" s="76"/>
      <c r="Z1002" s="77"/>
      <c r="AA1002" s="77"/>
      <c r="AB1002" s="77"/>
      <c r="AC1002" s="77"/>
      <c r="AD1002" s="77"/>
      <c r="AE1002" s="77"/>
      <c r="AF1002" s="77"/>
      <c r="AG1002" s="77"/>
      <c r="AH1002" s="78"/>
      <c r="AI1002" s="78"/>
      <c r="AJ1002" s="78"/>
      <c r="AK1002" s="78"/>
      <c r="AL1002" s="78"/>
      <c r="AM1002" s="78"/>
      <c r="AN1002" s="76"/>
      <c r="AO1002" s="76"/>
      <c r="AP1002" s="76"/>
      <c r="AQ1002" s="76"/>
      <c r="AR1002" s="76"/>
      <c r="AS1002" s="76"/>
      <c r="AT1002" s="76"/>
      <c r="AU1002" s="76"/>
      <c r="AV1002" s="76"/>
      <c r="AW1002" s="79"/>
      <c r="AX1002" s="79"/>
      <c r="AY1002" s="79"/>
      <c r="AZ1002" s="79"/>
      <c r="BA1002" s="79"/>
      <c r="BB1002" s="11"/>
      <c r="BC1002" s="11"/>
      <c r="BD1002" s="11"/>
      <c r="BE1002" s="73"/>
      <c r="BF1002" s="73"/>
      <c r="BG1002" s="73"/>
      <c r="BH1002" s="77"/>
      <c r="BI1002" s="77"/>
      <c r="BJ1002" s="77"/>
      <c r="BK1002" s="77"/>
      <c r="BL1002" s="77"/>
      <c r="BM1002" s="77"/>
      <c r="BN1002" s="158"/>
      <c r="BO1002" s="158"/>
    </row>
    <row r="1003" spans="1:67" ht="15" x14ac:dyDescent="0.25">
      <c r="A1003" s="71"/>
      <c r="B1003" s="11"/>
      <c r="C1003" s="11"/>
      <c r="D1003" s="11"/>
      <c r="E1003" s="11"/>
      <c r="F1003" s="11"/>
      <c r="G1003" s="11"/>
      <c r="H1003" s="11"/>
      <c r="I1003" s="11"/>
      <c r="J1003" s="249"/>
      <c r="K1003" s="73"/>
      <c r="L1003" s="75"/>
      <c r="M1003" s="73"/>
      <c r="N1003" s="74"/>
      <c r="O1003" s="75"/>
      <c r="P1003" s="73"/>
      <c r="Q1003" s="76"/>
      <c r="R1003" s="76"/>
      <c r="S1003" s="76"/>
      <c r="T1003" s="76"/>
      <c r="U1003" s="76"/>
      <c r="V1003" s="76"/>
      <c r="W1003" s="76"/>
      <c r="X1003" s="76"/>
      <c r="Y1003" s="76"/>
      <c r="Z1003" s="77"/>
      <c r="AA1003" s="77"/>
      <c r="AB1003" s="77"/>
      <c r="AC1003" s="77"/>
      <c r="AD1003" s="77"/>
      <c r="AE1003" s="77"/>
      <c r="AF1003" s="77"/>
      <c r="AG1003" s="77"/>
      <c r="AH1003" s="78"/>
      <c r="AI1003" s="78"/>
      <c r="AJ1003" s="78"/>
      <c r="AK1003" s="78"/>
      <c r="AL1003" s="78"/>
      <c r="AM1003" s="78"/>
      <c r="AN1003" s="76"/>
      <c r="AO1003" s="76"/>
      <c r="AP1003" s="76"/>
      <c r="AQ1003" s="76"/>
      <c r="AR1003" s="76"/>
      <c r="AS1003" s="76"/>
      <c r="AT1003" s="76"/>
      <c r="AU1003" s="76"/>
      <c r="AV1003" s="76"/>
      <c r="AW1003" s="79"/>
      <c r="AX1003" s="79"/>
      <c r="AY1003" s="79"/>
      <c r="AZ1003" s="79"/>
      <c r="BA1003" s="79"/>
      <c r="BB1003" s="11"/>
      <c r="BC1003" s="11"/>
      <c r="BD1003" s="11"/>
      <c r="BE1003" s="73"/>
      <c r="BF1003" s="73"/>
      <c r="BG1003" s="73"/>
      <c r="BH1003" s="77"/>
      <c r="BI1003" s="77"/>
      <c r="BJ1003" s="77"/>
      <c r="BK1003" s="77"/>
      <c r="BL1003" s="77"/>
      <c r="BM1003" s="77"/>
      <c r="BN1003" s="158"/>
      <c r="BO1003" s="158"/>
    </row>
    <row r="1004" spans="1:67" ht="15" x14ac:dyDescent="0.25">
      <c r="A1004" s="71"/>
      <c r="B1004" s="11"/>
      <c r="C1004" s="11"/>
      <c r="D1004" s="11"/>
      <c r="E1004" s="11"/>
      <c r="F1004" s="11"/>
      <c r="G1004" s="11"/>
      <c r="H1004" s="11"/>
      <c r="I1004" s="11"/>
      <c r="J1004" s="249"/>
      <c r="K1004" s="73"/>
      <c r="L1004" s="75"/>
      <c r="M1004" s="73"/>
      <c r="N1004" s="74"/>
      <c r="O1004" s="75"/>
      <c r="P1004" s="73"/>
      <c r="Q1004" s="76"/>
      <c r="R1004" s="76"/>
      <c r="S1004" s="76"/>
      <c r="T1004" s="76"/>
      <c r="U1004" s="76"/>
      <c r="V1004" s="76"/>
      <c r="W1004" s="76"/>
      <c r="X1004" s="76"/>
      <c r="Y1004" s="76"/>
      <c r="Z1004" s="77"/>
      <c r="AA1004" s="77"/>
      <c r="AB1004" s="77"/>
      <c r="AC1004" s="77"/>
      <c r="AD1004" s="77"/>
      <c r="AE1004" s="77"/>
      <c r="AF1004" s="77"/>
      <c r="AG1004" s="77"/>
      <c r="AH1004" s="78"/>
      <c r="AI1004" s="78"/>
      <c r="AJ1004" s="78"/>
      <c r="AK1004" s="78"/>
      <c r="AL1004" s="78"/>
      <c r="AM1004" s="78"/>
      <c r="AN1004" s="76"/>
      <c r="AO1004" s="76"/>
      <c r="AP1004" s="76"/>
      <c r="AQ1004" s="76"/>
      <c r="AR1004" s="76"/>
      <c r="AS1004" s="76"/>
      <c r="AT1004" s="76"/>
      <c r="AU1004" s="76"/>
      <c r="AV1004" s="76"/>
      <c r="AW1004" s="79"/>
      <c r="AX1004" s="79"/>
      <c r="AY1004" s="79"/>
      <c r="AZ1004" s="79"/>
      <c r="BA1004" s="79"/>
      <c r="BB1004" s="11"/>
      <c r="BC1004" s="11"/>
      <c r="BD1004" s="11"/>
      <c r="BE1004" s="73"/>
      <c r="BF1004" s="73"/>
      <c r="BG1004" s="73"/>
      <c r="BH1004" s="77"/>
      <c r="BI1004" s="77"/>
      <c r="BJ1004" s="77"/>
      <c r="BK1004" s="77"/>
      <c r="BL1004" s="77"/>
      <c r="BM1004" s="77"/>
      <c r="BN1004" s="158"/>
      <c r="BO1004" s="158"/>
    </row>
    <row r="1005" spans="1:67" ht="15" x14ac:dyDescent="0.25">
      <c r="A1005" s="71"/>
      <c r="B1005" s="11"/>
      <c r="C1005" s="11"/>
      <c r="D1005" s="11"/>
      <c r="E1005" s="11"/>
      <c r="F1005" s="11"/>
      <c r="G1005" s="11"/>
      <c r="H1005" s="11"/>
      <c r="I1005" s="11"/>
      <c r="J1005" s="249"/>
      <c r="K1005" s="73"/>
      <c r="L1005" s="75"/>
      <c r="M1005" s="73"/>
      <c r="N1005" s="74"/>
      <c r="O1005" s="75"/>
      <c r="P1005" s="73"/>
      <c r="Q1005" s="76"/>
      <c r="R1005" s="76"/>
      <c r="S1005" s="76"/>
      <c r="T1005" s="76"/>
      <c r="U1005" s="76"/>
      <c r="V1005" s="76"/>
      <c r="W1005" s="76"/>
      <c r="X1005" s="76"/>
      <c r="Y1005" s="76"/>
      <c r="Z1005" s="77"/>
      <c r="AA1005" s="77"/>
      <c r="AB1005" s="77"/>
      <c r="AC1005" s="77"/>
      <c r="AD1005" s="77"/>
      <c r="AE1005" s="77"/>
      <c r="AF1005" s="77"/>
      <c r="AG1005" s="77"/>
      <c r="AH1005" s="78"/>
      <c r="AI1005" s="78"/>
      <c r="AJ1005" s="78"/>
      <c r="AK1005" s="78"/>
      <c r="AL1005" s="78"/>
      <c r="AM1005" s="78"/>
      <c r="AN1005" s="76"/>
      <c r="AO1005" s="76"/>
      <c r="AP1005" s="76"/>
      <c r="AQ1005" s="76"/>
      <c r="AR1005" s="76"/>
      <c r="AS1005" s="76"/>
      <c r="AT1005" s="76"/>
      <c r="AU1005" s="76"/>
      <c r="AV1005" s="76"/>
      <c r="AW1005" s="79"/>
      <c r="AX1005" s="79"/>
      <c r="AY1005" s="79"/>
      <c r="AZ1005" s="79"/>
      <c r="BA1005" s="79"/>
      <c r="BB1005" s="11"/>
      <c r="BC1005" s="11"/>
      <c r="BD1005" s="11"/>
      <c r="BE1005" s="73"/>
      <c r="BF1005" s="73"/>
      <c r="BG1005" s="73"/>
      <c r="BH1005" s="77"/>
      <c r="BI1005" s="77"/>
      <c r="BJ1005" s="77"/>
      <c r="BK1005" s="77"/>
      <c r="BL1005" s="77"/>
      <c r="BM1005" s="77"/>
      <c r="BN1005" s="158"/>
      <c r="BO1005" s="158"/>
    </row>
    <row r="1006" spans="1:67" ht="15" x14ac:dyDescent="0.25">
      <c r="A1006" s="71"/>
      <c r="B1006" s="11"/>
      <c r="C1006" s="11"/>
      <c r="D1006" s="11"/>
      <c r="E1006" s="11"/>
      <c r="F1006" s="11"/>
      <c r="G1006" s="11"/>
      <c r="H1006" s="11"/>
      <c r="I1006" s="11"/>
      <c r="J1006" s="249"/>
      <c r="K1006" s="73"/>
      <c r="L1006" s="75"/>
      <c r="M1006" s="73"/>
      <c r="N1006" s="74"/>
      <c r="O1006" s="75"/>
      <c r="P1006" s="73"/>
      <c r="Q1006" s="76"/>
      <c r="R1006" s="76"/>
      <c r="S1006" s="76"/>
      <c r="T1006" s="76"/>
      <c r="U1006" s="76"/>
      <c r="V1006" s="76"/>
      <c r="W1006" s="76"/>
      <c r="X1006" s="76"/>
      <c r="Y1006" s="76"/>
      <c r="Z1006" s="77"/>
      <c r="AA1006" s="77"/>
      <c r="AB1006" s="77"/>
      <c r="AC1006" s="77"/>
      <c r="AD1006" s="77"/>
      <c r="AE1006" s="77"/>
      <c r="AF1006" s="77"/>
      <c r="AG1006" s="77"/>
      <c r="AH1006" s="78"/>
      <c r="AI1006" s="78"/>
      <c r="AJ1006" s="78"/>
      <c r="AK1006" s="78"/>
      <c r="AL1006" s="78"/>
      <c r="AM1006" s="78"/>
      <c r="AN1006" s="76"/>
      <c r="AO1006" s="76"/>
      <c r="AP1006" s="76"/>
      <c r="AQ1006" s="76"/>
      <c r="AR1006" s="76"/>
      <c r="AS1006" s="76"/>
      <c r="AT1006" s="76"/>
      <c r="AU1006" s="76"/>
      <c r="AV1006" s="76"/>
      <c r="AW1006" s="79"/>
      <c r="AX1006" s="79"/>
      <c r="AY1006" s="79"/>
      <c r="AZ1006" s="79"/>
      <c r="BA1006" s="79"/>
      <c r="BB1006" s="11"/>
      <c r="BC1006" s="11"/>
      <c r="BD1006" s="11"/>
      <c r="BE1006" s="73"/>
      <c r="BF1006" s="73"/>
      <c r="BG1006" s="73"/>
      <c r="BH1006" s="77"/>
      <c r="BI1006" s="77"/>
      <c r="BJ1006" s="77"/>
      <c r="BK1006" s="77"/>
      <c r="BL1006" s="77"/>
      <c r="BM1006" s="77"/>
      <c r="BN1006" s="158"/>
      <c r="BO1006" s="158"/>
    </row>
    <row r="1007" spans="1:67" ht="15" x14ac:dyDescent="0.25">
      <c r="A1007" s="71"/>
      <c r="B1007" s="11"/>
      <c r="C1007" s="11"/>
      <c r="D1007" s="11"/>
      <c r="E1007" s="11"/>
      <c r="F1007" s="11"/>
      <c r="G1007" s="11"/>
      <c r="H1007" s="11"/>
      <c r="I1007" s="11"/>
      <c r="J1007" s="249"/>
      <c r="K1007" s="73"/>
      <c r="L1007" s="75"/>
      <c r="M1007" s="73"/>
      <c r="N1007" s="74"/>
      <c r="O1007" s="75"/>
      <c r="P1007" s="73"/>
      <c r="Q1007" s="76"/>
      <c r="R1007" s="76"/>
      <c r="S1007" s="76"/>
      <c r="T1007" s="76"/>
      <c r="U1007" s="76"/>
      <c r="V1007" s="76"/>
      <c r="W1007" s="76"/>
      <c r="X1007" s="76"/>
      <c r="Y1007" s="76"/>
      <c r="Z1007" s="77"/>
      <c r="AA1007" s="77"/>
      <c r="AB1007" s="77"/>
      <c r="AC1007" s="77"/>
      <c r="AD1007" s="77"/>
      <c r="AE1007" s="77"/>
      <c r="AF1007" s="77"/>
      <c r="AG1007" s="77"/>
      <c r="AH1007" s="78"/>
      <c r="AI1007" s="78"/>
      <c r="AJ1007" s="78"/>
      <c r="AK1007" s="78"/>
      <c r="AL1007" s="78"/>
      <c r="AM1007" s="78"/>
      <c r="AN1007" s="76"/>
      <c r="AO1007" s="76"/>
      <c r="AP1007" s="76"/>
      <c r="AQ1007" s="76"/>
      <c r="AR1007" s="76"/>
      <c r="AS1007" s="76"/>
      <c r="AT1007" s="76"/>
      <c r="AU1007" s="76"/>
      <c r="AV1007" s="76"/>
      <c r="AW1007" s="79"/>
      <c r="AX1007" s="79"/>
      <c r="AY1007" s="79"/>
      <c r="AZ1007" s="79"/>
      <c r="BA1007" s="79"/>
      <c r="BB1007" s="11"/>
      <c r="BC1007" s="11"/>
      <c r="BD1007" s="11"/>
      <c r="BE1007" s="73"/>
      <c r="BF1007" s="73"/>
      <c r="BG1007" s="73"/>
      <c r="BH1007" s="77"/>
      <c r="BI1007" s="77"/>
      <c r="BJ1007" s="77"/>
      <c r="BK1007" s="77"/>
      <c r="BL1007" s="77"/>
      <c r="BM1007" s="77"/>
      <c r="BN1007" s="158"/>
      <c r="BO1007" s="158"/>
    </row>
    <row r="1008" spans="1:67" ht="15" x14ac:dyDescent="0.25">
      <c r="A1008" s="71"/>
      <c r="B1008" s="11"/>
      <c r="C1008" s="11"/>
      <c r="D1008" s="11"/>
      <c r="E1008" s="11"/>
      <c r="F1008" s="11"/>
      <c r="G1008" s="11"/>
      <c r="H1008" s="11"/>
      <c r="I1008" s="11"/>
      <c r="J1008" s="249"/>
      <c r="K1008" s="73"/>
      <c r="L1008" s="75"/>
      <c r="M1008" s="73"/>
      <c r="N1008" s="74"/>
      <c r="O1008" s="75"/>
      <c r="P1008" s="73"/>
      <c r="Q1008" s="76"/>
      <c r="R1008" s="76"/>
      <c r="S1008" s="76"/>
      <c r="T1008" s="76"/>
      <c r="U1008" s="76"/>
      <c r="V1008" s="76"/>
      <c r="W1008" s="76"/>
      <c r="X1008" s="76"/>
      <c r="Y1008" s="76"/>
      <c r="Z1008" s="77"/>
      <c r="AA1008" s="77"/>
      <c r="AB1008" s="77"/>
      <c r="AC1008" s="77"/>
      <c r="AD1008" s="77"/>
      <c r="AE1008" s="77"/>
      <c r="AF1008" s="77"/>
      <c r="AG1008" s="77"/>
      <c r="AH1008" s="78"/>
      <c r="AI1008" s="78"/>
      <c r="AJ1008" s="78"/>
      <c r="AK1008" s="78"/>
      <c r="AL1008" s="78"/>
      <c r="AM1008" s="78"/>
      <c r="AN1008" s="76"/>
      <c r="AO1008" s="76"/>
      <c r="AP1008" s="76"/>
      <c r="AQ1008" s="76"/>
      <c r="AR1008" s="76"/>
      <c r="AS1008" s="76"/>
      <c r="AT1008" s="76"/>
      <c r="AU1008" s="76"/>
      <c r="AV1008" s="76"/>
      <c r="AW1008" s="79"/>
      <c r="AX1008" s="79"/>
      <c r="AY1008" s="79"/>
      <c r="AZ1008" s="79"/>
      <c r="BA1008" s="79"/>
      <c r="BB1008" s="11"/>
      <c r="BC1008" s="11"/>
      <c r="BD1008" s="11"/>
      <c r="BE1008" s="73"/>
      <c r="BF1008" s="73"/>
      <c r="BG1008" s="73"/>
      <c r="BH1008" s="77"/>
      <c r="BI1008" s="77"/>
      <c r="BJ1008" s="77"/>
      <c r="BK1008" s="77"/>
      <c r="BL1008" s="77"/>
      <c r="BM1008" s="77"/>
      <c r="BN1008" s="158"/>
      <c r="BO1008" s="158"/>
    </row>
    <row r="1009" spans="1:67" ht="15" x14ac:dyDescent="0.25">
      <c r="A1009" s="71"/>
      <c r="B1009" s="11"/>
      <c r="C1009" s="11"/>
      <c r="D1009" s="11"/>
      <c r="E1009" s="11"/>
      <c r="F1009" s="11"/>
      <c r="G1009" s="11"/>
      <c r="H1009" s="11"/>
      <c r="I1009" s="11"/>
      <c r="J1009" s="249"/>
      <c r="K1009" s="73"/>
      <c r="L1009" s="75"/>
      <c r="M1009" s="73"/>
      <c r="N1009" s="74"/>
      <c r="O1009" s="75"/>
      <c r="P1009" s="73"/>
      <c r="Q1009" s="76"/>
      <c r="R1009" s="76"/>
      <c r="S1009" s="76"/>
      <c r="T1009" s="76"/>
      <c r="U1009" s="76"/>
      <c r="V1009" s="76"/>
      <c r="W1009" s="76"/>
      <c r="X1009" s="76"/>
      <c r="Y1009" s="76"/>
      <c r="Z1009" s="77"/>
      <c r="AA1009" s="77"/>
      <c r="AB1009" s="77"/>
      <c r="AC1009" s="77"/>
      <c r="AD1009" s="77"/>
      <c r="AE1009" s="77"/>
      <c r="AF1009" s="77"/>
      <c r="AG1009" s="77"/>
      <c r="AH1009" s="78"/>
      <c r="AI1009" s="78"/>
      <c r="AJ1009" s="78"/>
      <c r="AK1009" s="78"/>
      <c r="AL1009" s="78"/>
      <c r="AM1009" s="78"/>
      <c r="AN1009" s="76"/>
      <c r="AO1009" s="76"/>
      <c r="AP1009" s="76"/>
      <c r="AQ1009" s="76"/>
      <c r="AR1009" s="76"/>
      <c r="AS1009" s="76"/>
      <c r="AT1009" s="76"/>
      <c r="AU1009" s="76"/>
      <c r="AV1009" s="76"/>
      <c r="AW1009" s="79"/>
      <c r="AX1009" s="79"/>
      <c r="AY1009" s="79"/>
      <c r="AZ1009" s="79"/>
      <c r="BA1009" s="79"/>
      <c r="BB1009" s="11"/>
      <c r="BC1009" s="11"/>
      <c r="BD1009" s="11"/>
      <c r="BE1009" s="73"/>
      <c r="BF1009" s="73"/>
      <c r="BG1009" s="73"/>
      <c r="BH1009" s="77"/>
      <c r="BI1009" s="77"/>
      <c r="BJ1009" s="77"/>
      <c r="BK1009" s="77"/>
      <c r="BL1009" s="77"/>
      <c r="BM1009" s="77"/>
      <c r="BN1009" s="158"/>
      <c r="BO1009" s="158"/>
    </row>
    <row r="1010" spans="1:67" ht="15" x14ac:dyDescent="0.25">
      <c r="A1010" s="71"/>
      <c r="B1010" s="11"/>
      <c r="C1010" s="11"/>
      <c r="D1010" s="11"/>
      <c r="E1010" s="11"/>
      <c r="F1010" s="11"/>
      <c r="G1010" s="11"/>
      <c r="H1010" s="11"/>
      <c r="I1010" s="11"/>
      <c r="J1010" s="249"/>
      <c r="K1010" s="73"/>
      <c r="L1010" s="75"/>
      <c r="M1010" s="73"/>
      <c r="N1010" s="74"/>
      <c r="O1010" s="75"/>
      <c r="P1010" s="73"/>
      <c r="Q1010" s="76"/>
      <c r="R1010" s="76"/>
      <c r="S1010" s="76"/>
      <c r="T1010" s="76"/>
      <c r="U1010" s="76"/>
      <c r="V1010" s="76"/>
      <c r="W1010" s="76"/>
      <c r="X1010" s="76"/>
      <c r="Y1010" s="76"/>
      <c r="Z1010" s="77"/>
      <c r="AA1010" s="77"/>
      <c r="AB1010" s="77"/>
      <c r="AC1010" s="77"/>
      <c r="AD1010" s="77"/>
      <c r="AE1010" s="77"/>
      <c r="AF1010" s="77"/>
      <c r="AG1010" s="77"/>
      <c r="AH1010" s="78"/>
      <c r="AI1010" s="78"/>
      <c r="AJ1010" s="78"/>
      <c r="AK1010" s="78"/>
      <c r="AL1010" s="78"/>
      <c r="AM1010" s="78"/>
      <c r="AN1010" s="76"/>
      <c r="AO1010" s="76"/>
      <c r="AP1010" s="76"/>
      <c r="AQ1010" s="76"/>
      <c r="AR1010" s="76"/>
      <c r="AS1010" s="76"/>
      <c r="AT1010" s="76"/>
      <c r="AU1010" s="76"/>
      <c r="AV1010" s="76"/>
      <c r="AW1010" s="79"/>
      <c r="AX1010" s="79"/>
      <c r="AY1010" s="79"/>
      <c r="AZ1010" s="79"/>
      <c r="BA1010" s="79"/>
      <c r="BB1010" s="11"/>
      <c r="BC1010" s="11"/>
      <c r="BD1010" s="11"/>
      <c r="BE1010" s="73"/>
      <c r="BF1010" s="73"/>
      <c r="BG1010" s="73"/>
      <c r="BH1010" s="77"/>
      <c r="BI1010" s="77"/>
      <c r="BJ1010" s="77"/>
      <c r="BK1010" s="77"/>
      <c r="BL1010" s="77"/>
      <c r="BM1010" s="77"/>
      <c r="BN1010" s="158"/>
      <c r="BO1010" s="158"/>
    </row>
    <row r="1011" spans="1:67" ht="15" x14ac:dyDescent="0.25">
      <c r="A1011" s="71"/>
      <c r="B1011" s="11"/>
      <c r="C1011" s="11"/>
      <c r="D1011" s="11"/>
      <c r="E1011" s="11"/>
      <c r="F1011" s="11"/>
      <c r="G1011" s="11"/>
      <c r="H1011" s="11"/>
      <c r="I1011" s="11"/>
      <c r="J1011" s="249"/>
      <c r="K1011" s="73"/>
      <c r="L1011" s="75"/>
      <c r="M1011" s="73"/>
      <c r="N1011" s="74"/>
      <c r="O1011" s="75"/>
      <c r="P1011" s="73"/>
      <c r="Q1011" s="76"/>
      <c r="R1011" s="76"/>
      <c r="S1011" s="76"/>
      <c r="T1011" s="76"/>
      <c r="U1011" s="76"/>
      <c r="V1011" s="76"/>
      <c r="W1011" s="76"/>
      <c r="X1011" s="76"/>
      <c r="Y1011" s="76"/>
      <c r="Z1011" s="77"/>
      <c r="AA1011" s="77"/>
      <c r="AB1011" s="77"/>
      <c r="AC1011" s="77"/>
      <c r="AD1011" s="77"/>
      <c r="AE1011" s="77"/>
      <c r="AF1011" s="77"/>
      <c r="AG1011" s="77"/>
      <c r="AH1011" s="78"/>
      <c r="AI1011" s="78"/>
      <c r="AJ1011" s="78"/>
      <c r="AK1011" s="78"/>
      <c r="AL1011" s="78"/>
      <c r="AM1011" s="78"/>
      <c r="AN1011" s="76"/>
      <c r="AO1011" s="76"/>
      <c r="AP1011" s="76"/>
      <c r="AQ1011" s="76"/>
      <c r="AR1011" s="76"/>
      <c r="AS1011" s="76"/>
      <c r="AT1011" s="76"/>
      <c r="AU1011" s="76"/>
      <c r="AV1011" s="76"/>
      <c r="AW1011" s="79"/>
      <c r="AX1011" s="79"/>
      <c r="AY1011" s="79"/>
      <c r="AZ1011" s="79"/>
      <c r="BA1011" s="79"/>
      <c r="BB1011" s="11"/>
      <c r="BC1011" s="11"/>
      <c r="BD1011" s="11"/>
      <c r="BE1011" s="73"/>
      <c r="BF1011" s="73"/>
      <c r="BG1011" s="73"/>
      <c r="BH1011" s="77"/>
      <c r="BI1011" s="77"/>
      <c r="BJ1011" s="77"/>
      <c r="BK1011" s="77"/>
      <c r="BL1011" s="77"/>
      <c r="BM1011" s="77"/>
      <c r="BN1011" s="158"/>
      <c r="BO1011" s="158"/>
    </row>
    <row r="1012" spans="1:67" ht="15" x14ac:dyDescent="0.25">
      <c r="A1012" s="71"/>
      <c r="B1012" s="11"/>
      <c r="C1012" s="11"/>
      <c r="D1012" s="11"/>
      <c r="E1012" s="11"/>
      <c r="F1012" s="11"/>
      <c r="G1012" s="11"/>
      <c r="H1012" s="11"/>
      <c r="I1012" s="11"/>
      <c r="J1012" s="249"/>
      <c r="K1012" s="73"/>
      <c r="L1012" s="75"/>
      <c r="M1012" s="73"/>
      <c r="N1012" s="74"/>
      <c r="O1012" s="75"/>
      <c r="P1012" s="73"/>
      <c r="Q1012" s="76"/>
      <c r="R1012" s="76"/>
      <c r="S1012" s="76"/>
      <c r="T1012" s="76"/>
      <c r="U1012" s="76"/>
      <c r="V1012" s="76"/>
      <c r="W1012" s="76"/>
      <c r="X1012" s="76"/>
      <c r="Y1012" s="76"/>
      <c r="Z1012" s="77"/>
      <c r="AA1012" s="77"/>
      <c r="AB1012" s="77"/>
      <c r="AC1012" s="77"/>
      <c r="AD1012" s="77"/>
      <c r="AE1012" s="77"/>
      <c r="AF1012" s="77"/>
      <c r="AG1012" s="77"/>
      <c r="AH1012" s="78"/>
      <c r="AI1012" s="78"/>
      <c r="AJ1012" s="78"/>
      <c r="AK1012" s="78"/>
      <c r="AL1012" s="78"/>
      <c r="AM1012" s="78"/>
      <c r="AN1012" s="76"/>
      <c r="AO1012" s="76"/>
      <c r="AP1012" s="76"/>
      <c r="AQ1012" s="76"/>
      <c r="AR1012" s="76"/>
      <c r="AS1012" s="76"/>
      <c r="AT1012" s="76"/>
      <c r="AU1012" s="76"/>
      <c r="AV1012" s="76"/>
      <c r="AW1012" s="79"/>
      <c r="AX1012" s="79"/>
      <c r="AY1012" s="79"/>
      <c r="AZ1012" s="79"/>
      <c r="BA1012" s="79"/>
      <c r="BB1012" s="11"/>
      <c r="BC1012" s="11"/>
      <c r="BD1012" s="11"/>
      <c r="BE1012" s="73"/>
      <c r="BF1012" s="73"/>
      <c r="BG1012" s="73"/>
      <c r="BH1012" s="77"/>
      <c r="BI1012" s="77"/>
      <c r="BJ1012" s="77"/>
      <c r="BK1012" s="77"/>
      <c r="BL1012" s="77"/>
      <c r="BM1012" s="77"/>
      <c r="BN1012" s="158"/>
      <c r="BO1012" s="158"/>
    </row>
    <row r="1013" spans="1:67" ht="15" x14ac:dyDescent="0.25">
      <c r="A1013" s="71"/>
      <c r="B1013" s="11"/>
      <c r="C1013" s="11"/>
      <c r="D1013" s="11"/>
      <c r="E1013" s="11"/>
      <c r="F1013" s="11"/>
      <c r="G1013" s="11"/>
      <c r="H1013" s="11"/>
      <c r="I1013" s="11"/>
      <c r="J1013" s="249"/>
      <c r="K1013" s="73"/>
      <c r="L1013" s="75"/>
      <c r="M1013" s="73"/>
      <c r="N1013" s="74"/>
      <c r="O1013" s="75"/>
      <c r="P1013" s="73"/>
      <c r="Q1013" s="76"/>
      <c r="R1013" s="76"/>
      <c r="S1013" s="76"/>
      <c r="T1013" s="76"/>
      <c r="U1013" s="76"/>
      <c r="V1013" s="76"/>
      <c r="W1013" s="76"/>
      <c r="X1013" s="76"/>
      <c r="Y1013" s="76"/>
      <c r="Z1013" s="77"/>
      <c r="AA1013" s="77"/>
      <c r="AB1013" s="77"/>
      <c r="AC1013" s="77"/>
      <c r="AD1013" s="77"/>
      <c r="AE1013" s="77"/>
      <c r="AF1013" s="77"/>
      <c r="AG1013" s="77"/>
      <c r="AH1013" s="78"/>
      <c r="AI1013" s="78"/>
      <c r="AJ1013" s="78"/>
      <c r="AK1013" s="78"/>
      <c r="AL1013" s="78"/>
      <c r="AM1013" s="78"/>
      <c r="AN1013" s="76"/>
      <c r="AO1013" s="76"/>
      <c r="AP1013" s="76"/>
      <c r="AQ1013" s="76"/>
      <c r="AR1013" s="76"/>
      <c r="AS1013" s="76"/>
      <c r="AT1013" s="76"/>
      <c r="AU1013" s="76"/>
      <c r="AV1013" s="76"/>
      <c r="AW1013" s="79"/>
      <c r="AX1013" s="79"/>
      <c r="AY1013" s="79"/>
      <c r="AZ1013" s="79"/>
      <c r="BA1013" s="79"/>
      <c r="BB1013" s="11"/>
      <c r="BC1013" s="11"/>
      <c r="BD1013" s="11"/>
      <c r="BE1013" s="73"/>
      <c r="BF1013" s="73"/>
      <c r="BG1013" s="73"/>
      <c r="BH1013" s="77"/>
      <c r="BI1013" s="77"/>
      <c r="BJ1013" s="77"/>
      <c r="BK1013" s="77"/>
      <c r="BL1013" s="77"/>
      <c r="BM1013" s="77"/>
      <c r="BN1013" s="158"/>
      <c r="BO1013" s="158"/>
    </row>
    <row r="1014" spans="1:67" ht="15" x14ac:dyDescent="0.25">
      <c r="A1014" s="71"/>
      <c r="B1014" s="11"/>
      <c r="C1014" s="11"/>
      <c r="D1014" s="11"/>
      <c r="E1014" s="11"/>
      <c r="F1014" s="11"/>
      <c r="G1014" s="11"/>
      <c r="H1014" s="11"/>
      <c r="I1014" s="11"/>
      <c r="J1014" s="249"/>
      <c r="K1014" s="73"/>
      <c r="L1014" s="75"/>
      <c r="M1014" s="73"/>
      <c r="N1014" s="74"/>
      <c r="O1014" s="75"/>
      <c r="P1014" s="73"/>
      <c r="Q1014" s="76"/>
      <c r="R1014" s="76"/>
      <c r="S1014" s="76"/>
      <c r="T1014" s="76"/>
      <c r="U1014" s="76"/>
      <c r="V1014" s="76"/>
      <c r="W1014" s="76"/>
      <c r="X1014" s="76"/>
      <c r="Y1014" s="76"/>
      <c r="Z1014" s="77"/>
      <c r="AA1014" s="77"/>
      <c r="AB1014" s="77"/>
      <c r="AC1014" s="77"/>
      <c r="AD1014" s="77"/>
      <c r="AE1014" s="77"/>
      <c r="AF1014" s="77"/>
      <c r="AG1014" s="77"/>
      <c r="AH1014" s="78"/>
      <c r="AI1014" s="78"/>
      <c r="AJ1014" s="78"/>
      <c r="AK1014" s="78"/>
      <c r="AL1014" s="78"/>
      <c r="AM1014" s="78"/>
      <c r="AN1014" s="76"/>
      <c r="AO1014" s="76"/>
      <c r="AP1014" s="76"/>
      <c r="AQ1014" s="76"/>
      <c r="AR1014" s="76"/>
      <c r="AS1014" s="76"/>
      <c r="AT1014" s="76"/>
      <c r="AU1014" s="76"/>
      <c r="AV1014" s="76"/>
      <c r="AW1014" s="79"/>
      <c r="AX1014" s="79"/>
      <c r="AY1014" s="79"/>
      <c r="AZ1014" s="79"/>
      <c r="BA1014" s="79"/>
      <c r="BB1014" s="11"/>
      <c r="BC1014" s="11"/>
      <c r="BD1014" s="11"/>
      <c r="BE1014" s="73"/>
      <c r="BF1014" s="73"/>
      <c r="BG1014" s="73"/>
      <c r="BH1014" s="77"/>
      <c r="BI1014" s="77"/>
      <c r="BJ1014" s="77"/>
      <c r="BK1014" s="77"/>
      <c r="BL1014" s="77"/>
      <c r="BM1014" s="77"/>
      <c r="BN1014" s="158"/>
      <c r="BO1014" s="158"/>
    </row>
    <row r="1015" spans="1:67" ht="15" x14ac:dyDescent="0.25">
      <c r="A1015" s="71"/>
      <c r="B1015" s="11"/>
      <c r="C1015" s="11"/>
      <c r="D1015" s="11"/>
      <c r="E1015" s="11"/>
      <c r="F1015" s="11"/>
      <c r="G1015" s="11"/>
      <c r="H1015" s="11"/>
      <c r="I1015" s="11"/>
      <c r="J1015" s="249"/>
      <c r="K1015" s="73"/>
      <c r="L1015" s="75"/>
      <c r="M1015" s="73"/>
      <c r="N1015" s="74"/>
      <c r="O1015" s="75"/>
      <c r="P1015" s="73"/>
      <c r="Q1015" s="76"/>
      <c r="R1015" s="76"/>
      <c r="S1015" s="76"/>
      <c r="T1015" s="76"/>
      <c r="U1015" s="76"/>
      <c r="V1015" s="76"/>
      <c r="W1015" s="76"/>
      <c r="X1015" s="76"/>
      <c r="Y1015" s="76"/>
      <c r="Z1015" s="77"/>
      <c r="AA1015" s="77"/>
      <c r="AB1015" s="77"/>
      <c r="AC1015" s="77"/>
      <c r="AD1015" s="77"/>
      <c r="AE1015" s="77"/>
      <c r="AF1015" s="77"/>
      <c r="AG1015" s="77"/>
      <c r="AH1015" s="78"/>
      <c r="AI1015" s="78"/>
      <c r="AJ1015" s="78"/>
      <c r="AK1015" s="78"/>
      <c r="AL1015" s="78"/>
      <c r="AM1015" s="78"/>
      <c r="AN1015" s="76"/>
      <c r="AO1015" s="76"/>
      <c r="AP1015" s="76"/>
      <c r="AQ1015" s="76"/>
      <c r="AR1015" s="76"/>
      <c r="AS1015" s="76"/>
      <c r="AT1015" s="76"/>
      <c r="AU1015" s="76"/>
      <c r="AV1015" s="76"/>
      <c r="AW1015" s="79"/>
      <c r="AX1015" s="79"/>
      <c r="AY1015" s="79"/>
      <c r="AZ1015" s="79"/>
      <c r="BA1015" s="79"/>
      <c r="BB1015" s="11"/>
      <c r="BC1015" s="11"/>
      <c r="BD1015" s="11"/>
      <c r="BE1015" s="73"/>
      <c r="BF1015" s="73"/>
      <c r="BG1015" s="73"/>
      <c r="BH1015" s="77"/>
      <c r="BI1015" s="77"/>
      <c r="BJ1015" s="77"/>
      <c r="BK1015" s="77"/>
      <c r="BL1015" s="77"/>
      <c r="BM1015" s="77"/>
      <c r="BN1015" s="158"/>
      <c r="BO1015" s="158"/>
    </row>
    <row r="1016" spans="1:67" ht="15" x14ac:dyDescent="0.25">
      <c r="A1016" s="71"/>
      <c r="B1016" s="11"/>
      <c r="C1016" s="11"/>
      <c r="D1016" s="11"/>
      <c r="E1016" s="11"/>
      <c r="F1016" s="11"/>
      <c r="G1016" s="11"/>
      <c r="H1016" s="11"/>
      <c r="I1016" s="11"/>
      <c r="J1016" s="249"/>
      <c r="K1016" s="73"/>
      <c r="L1016" s="75"/>
      <c r="M1016" s="73"/>
      <c r="N1016" s="74"/>
      <c r="O1016" s="75"/>
      <c r="P1016" s="73"/>
      <c r="Q1016" s="76"/>
      <c r="R1016" s="76"/>
      <c r="S1016" s="76"/>
      <c r="T1016" s="76"/>
      <c r="U1016" s="76"/>
      <c r="V1016" s="76"/>
      <c r="W1016" s="76"/>
      <c r="X1016" s="76"/>
      <c r="Y1016" s="76"/>
      <c r="Z1016" s="77"/>
      <c r="AA1016" s="77"/>
      <c r="AB1016" s="77"/>
      <c r="AC1016" s="77"/>
      <c r="AD1016" s="77"/>
      <c r="AE1016" s="77"/>
      <c r="AF1016" s="77"/>
      <c r="AG1016" s="77"/>
      <c r="AH1016" s="78"/>
      <c r="AI1016" s="78"/>
      <c r="AJ1016" s="78"/>
      <c r="AK1016" s="78"/>
      <c r="AL1016" s="78"/>
      <c r="AM1016" s="78"/>
      <c r="AN1016" s="76"/>
      <c r="AO1016" s="76"/>
      <c r="AP1016" s="76"/>
      <c r="AQ1016" s="76"/>
      <c r="AR1016" s="76"/>
      <c r="AS1016" s="76"/>
      <c r="AT1016" s="76"/>
      <c r="AU1016" s="76"/>
      <c r="AV1016" s="76"/>
      <c r="AW1016" s="79"/>
      <c r="AX1016" s="79"/>
      <c r="AY1016" s="79"/>
      <c r="AZ1016" s="79"/>
      <c r="BA1016" s="79"/>
      <c r="BB1016" s="11"/>
      <c r="BC1016" s="11"/>
      <c r="BD1016" s="11"/>
      <c r="BE1016" s="73"/>
      <c r="BF1016" s="73"/>
      <c r="BG1016" s="73"/>
      <c r="BH1016" s="77"/>
      <c r="BI1016" s="77"/>
      <c r="BJ1016" s="77"/>
      <c r="BK1016" s="77"/>
      <c r="BL1016" s="77"/>
      <c r="BM1016" s="77"/>
      <c r="BN1016" s="158"/>
      <c r="BO1016" s="158"/>
    </row>
    <row r="1017" spans="1:67" ht="15" x14ac:dyDescent="0.25">
      <c r="A1017" s="71"/>
      <c r="B1017" s="11"/>
      <c r="C1017" s="11"/>
      <c r="D1017" s="11"/>
      <c r="E1017" s="11"/>
      <c r="F1017" s="11"/>
      <c r="G1017" s="11"/>
      <c r="H1017" s="11"/>
      <c r="I1017" s="11"/>
      <c r="J1017" s="249"/>
      <c r="K1017" s="73"/>
      <c r="L1017" s="75"/>
      <c r="M1017" s="73"/>
      <c r="N1017" s="74"/>
      <c r="O1017" s="75"/>
      <c r="P1017" s="73"/>
      <c r="Q1017" s="76"/>
      <c r="R1017" s="76"/>
      <c r="S1017" s="76"/>
      <c r="T1017" s="76"/>
      <c r="U1017" s="76"/>
      <c r="V1017" s="76"/>
      <c r="W1017" s="76"/>
      <c r="X1017" s="76"/>
      <c r="Y1017" s="76"/>
      <c r="Z1017" s="77"/>
      <c r="AA1017" s="77"/>
      <c r="AB1017" s="77"/>
      <c r="AC1017" s="77"/>
      <c r="AD1017" s="77"/>
      <c r="AE1017" s="77"/>
      <c r="AF1017" s="77"/>
      <c r="AG1017" s="77"/>
      <c r="AH1017" s="78"/>
      <c r="AI1017" s="78"/>
      <c r="AJ1017" s="78"/>
      <c r="AK1017" s="78"/>
      <c r="AL1017" s="78"/>
      <c r="AM1017" s="78"/>
      <c r="AN1017" s="76"/>
      <c r="AO1017" s="76"/>
      <c r="AP1017" s="76"/>
      <c r="AQ1017" s="76"/>
      <c r="AR1017" s="76"/>
      <c r="AS1017" s="76"/>
      <c r="AT1017" s="76"/>
      <c r="AU1017" s="76"/>
      <c r="AV1017" s="76"/>
      <c r="AW1017" s="79"/>
      <c r="AX1017" s="79"/>
      <c r="AY1017" s="79"/>
      <c r="AZ1017" s="79"/>
      <c r="BA1017" s="79"/>
      <c r="BB1017" s="11"/>
      <c r="BC1017" s="11"/>
      <c r="BD1017" s="11"/>
      <c r="BE1017" s="73"/>
      <c r="BF1017" s="73"/>
      <c r="BG1017" s="73"/>
      <c r="BH1017" s="77"/>
      <c r="BI1017" s="77"/>
      <c r="BJ1017" s="77"/>
      <c r="BK1017" s="77"/>
      <c r="BL1017" s="77"/>
      <c r="BM1017" s="77"/>
      <c r="BN1017" s="158"/>
      <c r="BO1017" s="158"/>
    </row>
    <row r="1018" spans="1:67" ht="15" x14ac:dyDescent="0.25">
      <c r="A1018" s="71"/>
      <c r="B1018" s="11"/>
      <c r="C1018" s="11"/>
      <c r="D1018" s="11"/>
      <c r="E1018" s="11"/>
      <c r="F1018" s="11"/>
      <c r="G1018" s="11"/>
      <c r="H1018" s="11"/>
      <c r="I1018" s="11"/>
      <c r="J1018" s="249"/>
      <c r="K1018" s="73"/>
      <c r="L1018" s="75"/>
      <c r="M1018" s="73"/>
      <c r="N1018" s="74"/>
      <c r="O1018" s="75"/>
      <c r="P1018" s="73"/>
      <c r="Q1018" s="76"/>
      <c r="R1018" s="76"/>
      <c r="S1018" s="76"/>
      <c r="T1018" s="76"/>
      <c r="U1018" s="76"/>
      <c r="V1018" s="76"/>
      <c r="W1018" s="76"/>
      <c r="X1018" s="76"/>
      <c r="Y1018" s="76"/>
      <c r="Z1018" s="77"/>
      <c r="AA1018" s="77"/>
      <c r="AB1018" s="77"/>
      <c r="AC1018" s="77"/>
      <c r="AD1018" s="77"/>
      <c r="AE1018" s="77"/>
      <c r="AF1018" s="77"/>
      <c r="AG1018" s="77"/>
      <c r="AH1018" s="78"/>
      <c r="AI1018" s="78"/>
      <c r="AJ1018" s="78"/>
      <c r="AK1018" s="78"/>
      <c r="AL1018" s="78"/>
      <c r="AM1018" s="78"/>
      <c r="AN1018" s="76"/>
      <c r="AO1018" s="76"/>
      <c r="AP1018" s="76"/>
      <c r="AQ1018" s="76"/>
      <c r="AR1018" s="76"/>
      <c r="AS1018" s="76"/>
      <c r="AT1018" s="76"/>
      <c r="AU1018" s="76"/>
      <c r="AV1018" s="76"/>
      <c r="AW1018" s="79"/>
      <c r="AX1018" s="79"/>
      <c r="AY1018" s="79"/>
      <c r="AZ1018" s="79"/>
      <c r="BA1018" s="79"/>
      <c r="BB1018" s="11"/>
      <c r="BC1018" s="11"/>
      <c r="BD1018" s="11"/>
      <c r="BE1018" s="73"/>
      <c r="BF1018" s="73"/>
      <c r="BG1018" s="73"/>
      <c r="BH1018" s="77"/>
      <c r="BI1018" s="77"/>
      <c r="BJ1018" s="77"/>
      <c r="BK1018" s="77"/>
      <c r="BL1018" s="77"/>
      <c r="BM1018" s="77"/>
      <c r="BN1018" s="158"/>
      <c r="BO1018" s="158"/>
    </row>
    <row r="1019" spans="1:67" ht="15" x14ac:dyDescent="0.25">
      <c r="A1019" s="71"/>
      <c r="B1019" s="11"/>
      <c r="C1019" s="11"/>
      <c r="D1019" s="11"/>
      <c r="E1019" s="11"/>
      <c r="F1019" s="11"/>
      <c r="G1019" s="11"/>
      <c r="H1019" s="11"/>
      <c r="I1019" s="11"/>
      <c r="J1019" s="249"/>
      <c r="K1019" s="73"/>
      <c r="L1019" s="75"/>
      <c r="M1019" s="73"/>
      <c r="N1019" s="74"/>
      <c r="O1019" s="75"/>
      <c r="P1019" s="73"/>
      <c r="Q1019" s="76"/>
      <c r="R1019" s="76"/>
      <c r="S1019" s="76"/>
      <c r="T1019" s="76"/>
      <c r="U1019" s="76"/>
      <c r="V1019" s="76"/>
      <c r="W1019" s="76"/>
      <c r="X1019" s="76"/>
      <c r="Y1019" s="76"/>
      <c r="Z1019" s="77"/>
      <c r="AA1019" s="77"/>
      <c r="AB1019" s="77"/>
      <c r="AC1019" s="77"/>
      <c r="AD1019" s="77"/>
      <c r="AE1019" s="77"/>
      <c r="AF1019" s="77"/>
      <c r="AG1019" s="77"/>
      <c r="AH1019" s="78"/>
      <c r="AI1019" s="78"/>
      <c r="AJ1019" s="78"/>
      <c r="AK1019" s="78"/>
      <c r="AL1019" s="78"/>
      <c r="AM1019" s="78"/>
      <c r="AN1019" s="76"/>
      <c r="AO1019" s="76"/>
      <c r="AP1019" s="76"/>
      <c r="AQ1019" s="76"/>
      <c r="AR1019" s="76"/>
      <c r="AS1019" s="76"/>
      <c r="AT1019" s="76"/>
      <c r="AU1019" s="76"/>
      <c r="AV1019" s="76"/>
      <c r="AW1019" s="79"/>
      <c r="AX1019" s="79"/>
      <c r="AY1019" s="79"/>
      <c r="AZ1019" s="79"/>
      <c r="BA1019" s="79"/>
      <c r="BB1019" s="11"/>
      <c r="BC1019" s="11"/>
      <c r="BD1019" s="11"/>
      <c r="BE1019" s="73"/>
      <c r="BF1019" s="73"/>
      <c r="BG1019" s="73"/>
      <c r="BH1019" s="77"/>
      <c r="BI1019" s="77"/>
      <c r="BJ1019" s="77"/>
      <c r="BK1019" s="77"/>
      <c r="BL1019" s="77"/>
      <c r="BM1019" s="77"/>
      <c r="BN1019" s="158"/>
      <c r="BO1019" s="158"/>
    </row>
    <row r="1020" spans="1:67" ht="15" x14ac:dyDescent="0.25">
      <c r="A1020" s="71"/>
      <c r="B1020" s="11"/>
      <c r="C1020" s="11"/>
      <c r="D1020" s="11"/>
      <c r="E1020" s="11"/>
      <c r="F1020" s="11"/>
      <c r="G1020" s="11"/>
      <c r="H1020" s="11"/>
      <c r="I1020" s="11"/>
      <c r="J1020" s="249"/>
      <c r="K1020" s="73"/>
      <c r="L1020" s="75"/>
      <c r="M1020" s="73"/>
      <c r="N1020" s="74"/>
      <c r="O1020" s="75"/>
      <c r="P1020" s="73"/>
      <c r="Q1020" s="76"/>
      <c r="R1020" s="76"/>
      <c r="S1020" s="76"/>
      <c r="T1020" s="76"/>
      <c r="U1020" s="76"/>
      <c r="V1020" s="76"/>
      <c r="W1020" s="76"/>
      <c r="X1020" s="76"/>
      <c r="Y1020" s="76"/>
      <c r="Z1020" s="77"/>
      <c r="AA1020" s="77"/>
      <c r="AB1020" s="77"/>
      <c r="AC1020" s="77"/>
      <c r="AD1020" s="77"/>
      <c r="AE1020" s="77"/>
      <c r="AF1020" s="77"/>
      <c r="AG1020" s="77"/>
      <c r="AH1020" s="78"/>
      <c r="AI1020" s="78"/>
      <c r="AJ1020" s="78"/>
      <c r="AK1020" s="78"/>
      <c r="AL1020" s="78"/>
      <c r="AM1020" s="78"/>
      <c r="AN1020" s="76"/>
      <c r="AO1020" s="76"/>
      <c r="AP1020" s="76"/>
      <c r="AQ1020" s="76"/>
      <c r="AR1020" s="76"/>
      <c r="AS1020" s="76"/>
      <c r="AT1020" s="76"/>
      <c r="AU1020" s="76"/>
      <c r="AV1020" s="76"/>
      <c r="AW1020" s="79"/>
      <c r="AX1020" s="79"/>
      <c r="AY1020" s="79"/>
      <c r="AZ1020" s="79"/>
      <c r="BA1020" s="79"/>
      <c r="BB1020" s="11"/>
      <c r="BC1020" s="11"/>
      <c r="BD1020" s="11"/>
      <c r="BE1020" s="73"/>
      <c r="BF1020" s="73"/>
      <c r="BG1020" s="73"/>
      <c r="BH1020" s="77"/>
      <c r="BI1020" s="77"/>
      <c r="BJ1020" s="77"/>
      <c r="BK1020" s="77"/>
      <c r="BL1020" s="77"/>
      <c r="BM1020" s="77"/>
      <c r="BN1020" s="158"/>
      <c r="BO1020" s="158"/>
    </row>
    <row r="1021" spans="1:67" ht="15" x14ac:dyDescent="0.25">
      <c r="A1021" s="71"/>
      <c r="B1021" s="11"/>
      <c r="C1021" s="11"/>
      <c r="D1021" s="11"/>
      <c r="E1021" s="11"/>
      <c r="F1021" s="11"/>
      <c r="G1021" s="11"/>
      <c r="H1021" s="11"/>
      <c r="I1021" s="11"/>
      <c r="J1021" s="249"/>
      <c r="K1021" s="73"/>
      <c r="L1021" s="75"/>
      <c r="M1021" s="73"/>
      <c r="N1021" s="74"/>
      <c r="O1021" s="75"/>
      <c r="P1021" s="73"/>
      <c r="Q1021" s="76"/>
      <c r="R1021" s="76"/>
      <c r="S1021" s="76"/>
      <c r="T1021" s="76"/>
      <c r="U1021" s="76"/>
      <c r="V1021" s="76"/>
      <c r="W1021" s="76"/>
      <c r="X1021" s="76"/>
      <c r="Y1021" s="76"/>
      <c r="Z1021" s="77"/>
      <c r="AA1021" s="77"/>
      <c r="AB1021" s="77"/>
      <c r="AC1021" s="77"/>
      <c r="AD1021" s="77"/>
      <c r="AE1021" s="77"/>
      <c r="AF1021" s="77"/>
      <c r="AG1021" s="77"/>
      <c r="AH1021" s="78"/>
      <c r="AI1021" s="78"/>
      <c r="AJ1021" s="78"/>
      <c r="AK1021" s="78"/>
      <c r="AL1021" s="78"/>
      <c r="AM1021" s="78"/>
      <c r="AN1021" s="76"/>
      <c r="AO1021" s="76"/>
      <c r="AP1021" s="76"/>
      <c r="AQ1021" s="76"/>
      <c r="AR1021" s="76"/>
      <c r="AS1021" s="76"/>
      <c r="AT1021" s="76"/>
      <c r="AU1021" s="76"/>
      <c r="AV1021" s="76"/>
      <c r="AW1021" s="79"/>
      <c r="AX1021" s="79"/>
      <c r="AY1021" s="79"/>
      <c r="AZ1021" s="79"/>
      <c r="BA1021" s="79"/>
      <c r="BB1021" s="11"/>
      <c r="BC1021" s="11"/>
      <c r="BD1021" s="11"/>
      <c r="BE1021" s="73"/>
      <c r="BF1021" s="73"/>
      <c r="BG1021" s="73"/>
      <c r="BH1021" s="77"/>
      <c r="BI1021" s="77"/>
      <c r="BJ1021" s="77"/>
      <c r="BK1021" s="77"/>
      <c r="BL1021" s="77"/>
      <c r="BM1021" s="77"/>
      <c r="BN1021" s="158"/>
      <c r="BO1021" s="158"/>
    </row>
    <row r="1022" spans="1:67" ht="15" x14ac:dyDescent="0.25">
      <c r="A1022" s="71"/>
      <c r="B1022" s="11"/>
      <c r="C1022" s="11"/>
      <c r="D1022" s="11"/>
      <c r="E1022" s="11"/>
      <c r="F1022" s="11"/>
      <c r="G1022" s="11"/>
      <c r="H1022" s="11"/>
      <c r="I1022" s="11"/>
      <c r="J1022" s="249"/>
      <c r="K1022" s="73"/>
      <c r="L1022" s="75"/>
      <c r="M1022" s="73"/>
      <c r="N1022" s="74"/>
      <c r="O1022" s="75"/>
      <c r="P1022" s="73"/>
      <c r="Q1022" s="76"/>
      <c r="R1022" s="76"/>
      <c r="S1022" s="76"/>
      <c r="T1022" s="76"/>
      <c r="U1022" s="76"/>
      <c r="V1022" s="76"/>
      <c r="W1022" s="76"/>
      <c r="X1022" s="76"/>
      <c r="Y1022" s="76"/>
      <c r="Z1022" s="77"/>
      <c r="AA1022" s="77"/>
      <c r="AB1022" s="77"/>
      <c r="AC1022" s="77"/>
      <c r="AD1022" s="77"/>
      <c r="AE1022" s="77"/>
      <c r="AF1022" s="77"/>
      <c r="AG1022" s="77"/>
      <c r="AH1022" s="78"/>
      <c r="AI1022" s="78"/>
      <c r="AJ1022" s="78"/>
      <c r="AK1022" s="78"/>
      <c r="AL1022" s="78"/>
      <c r="AM1022" s="78"/>
      <c r="AN1022" s="76"/>
      <c r="AO1022" s="76"/>
      <c r="AP1022" s="76"/>
      <c r="AQ1022" s="76"/>
      <c r="AR1022" s="76"/>
      <c r="AS1022" s="76"/>
      <c r="AT1022" s="76"/>
      <c r="AU1022" s="76"/>
      <c r="AV1022" s="76"/>
      <c r="AW1022" s="79"/>
      <c r="AX1022" s="79"/>
      <c r="AY1022" s="79"/>
      <c r="AZ1022" s="79"/>
      <c r="BA1022" s="79"/>
      <c r="BB1022" s="11"/>
      <c r="BC1022" s="11"/>
      <c r="BD1022" s="11"/>
      <c r="BE1022" s="73"/>
      <c r="BF1022" s="73"/>
      <c r="BG1022" s="73"/>
      <c r="BH1022" s="77"/>
      <c r="BI1022" s="77"/>
      <c r="BJ1022" s="77"/>
      <c r="BK1022" s="77"/>
      <c r="BL1022" s="77"/>
      <c r="BM1022" s="77"/>
      <c r="BN1022" s="158"/>
      <c r="BO1022" s="158"/>
    </row>
    <row r="1023" spans="1:67" ht="15" x14ac:dyDescent="0.25">
      <c r="A1023" s="71"/>
      <c r="B1023" s="11"/>
      <c r="C1023" s="11"/>
      <c r="D1023" s="11"/>
      <c r="E1023" s="11"/>
      <c r="F1023" s="11"/>
      <c r="G1023" s="11"/>
      <c r="H1023" s="11"/>
      <c r="I1023" s="11"/>
      <c r="J1023" s="249"/>
      <c r="K1023" s="73"/>
      <c r="L1023" s="75"/>
      <c r="M1023" s="73"/>
      <c r="N1023" s="74"/>
      <c r="O1023" s="75"/>
      <c r="P1023" s="73"/>
      <c r="Q1023" s="76"/>
      <c r="R1023" s="76"/>
      <c r="S1023" s="76"/>
      <c r="T1023" s="76"/>
      <c r="U1023" s="76"/>
      <c r="V1023" s="76"/>
      <c r="W1023" s="76"/>
      <c r="X1023" s="76"/>
      <c r="Y1023" s="76"/>
      <c r="Z1023" s="77"/>
      <c r="AA1023" s="77"/>
      <c r="AB1023" s="77"/>
      <c r="AC1023" s="77"/>
      <c r="AD1023" s="77"/>
      <c r="AE1023" s="77"/>
      <c r="AF1023" s="77"/>
      <c r="AG1023" s="77"/>
      <c r="AH1023" s="78"/>
      <c r="AI1023" s="78"/>
      <c r="AJ1023" s="78"/>
      <c r="AK1023" s="78"/>
      <c r="AL1023" s="78"/>
      <c r="AM1023" s="78"/>
      <c r="AN1023" s="76"/>
      <c r="AO1023" s="76"/>
      <c r="AP1023" s="76"/>
      <c r="AQ1023" s="76"/>
      <c r="AR1023" s="76"/>
      <c r="AS1023" s="76"/>
      <c r="AT1023" s="76"/>
      <c r="AU1023" s="76"/>
      <c r="AV1023" s="76"/>
      <c r="AW1023" s="79"/>
      <c r="AX1023" s="79"/>
      <c r="AY1023" s="79"/>
      <c r="AZ1023" s="79"/>
      <c r="BA1023" s="79"/>
      <c r="BB1023" s="11"/>
      <c r="BC1023" s="11"/>
      <c r="BD1023" s="11"/>
      <c r="BE1023" s="73"/>
      <c r="BF1023" s="73"/>
      <c r="BG1023" s="73"/>
      <c r="BH1023" s="77"/>
      <c r="BI1023" s="77"/>
      <c r="BJ1023" s="77"/>
      <c r="BK1023" s="77"/>
      <c r="BL1023" s="77"/>
      <c r="BM1023" s="77"/>
      <c r="BN1023" s="158"/>
      <c r="BO1023" s="158"/>
    </row>
    <row r="1024" spans="1:67" ht="15" x14ac:dyDescent="0.25">
      <c r="A1024" s="71"/>
      <c r="B1024" s="11"/>
      <c r="C1024" s="11"/>
      <c r="D1024" s="11"/>
      <c r="E1024" s="11"/>
      <c r="F1024" s="11"/>
      <c r="G1024" s="11"/>
      <c r="H1024" s="11"/>
      <c r="I1024" s="11"/>
      <c r="J1024" s="249"/>
      <c r="K1024" s="73"/>
      <c r="L1024" s="75"/>
      <c r="M1024" s="73"/>
      <c r="N1024" s="74"/>
      <c r="O1024" s="75"/>
      <c r="P1024" s="73"/>
      <c r="Q1024" s="76"/>
      <c r="R1024" s="76"/>
      <c r="S1024" s="76"/>
      <c r="T1024" s="76"/>
      <c r="U1024" s="76"/>
      <c r="V1024" s="76"/>
      <c r="W1024" s="76"/>
      <c r="X1024" s="76"/>
      <c r="Y1024" s="76"/>
      <c r="Z1024" s="77"/>
      <c r="AA1024" s="77"/>
      <c r="AB1024" s="77"/>
      <c r="AC1024" s="77"/>
      <c r="AD1024" s="77"/>
      <c r="AE1024" s="77"/>
      <c r="AF1024" s="77"/>
      <c r="AG1024" s="77"/>
      <c r="AH1024" s="78"/>
      <c r="AI1024" s="78"/>
      <c r="AJ1024" s="78"/>
      <c r="AK1024" s="78"/>
      <c r="AL1024" s="78"/>
      <c r="AM1024" s="78"/>
      <c r="AN1024" s="76"/>
      <c r="AO1024" s="76"/>
      <c r="AP1024" s="76"/>
      <c r="AQ1024" s="76"/>
      <c r="AR1024" s="76"/>
      <c r="AS1024" s="76"/>
      <c r="AT1024" s="76"/>
      <c r="AU1024" s="76"/>
      <c r="AV1024" s="76"/>
      <c r="AW1024" s="79"/>
      <c r="AX1024" s="79"/>
      <c r="AY1024" s="79"/>
      <c r="AZ1024" s="79"/>
      <c r="BA1024" s="79"/>
      <c r="BB1024" s="11"/>
      <c r="BC1024" s="11"/>
      <c r="BD1024" s="11"/>
      <c r="BE1024" s="73"/>
      <c r="BF1024" s="73"/>
      <c r="BG1024" s="73"/>
      <c r="BH1024" s="77"/>
      <c r="BI1024" s="77"/>
      <c r="BJ1024" s="77"/>
      <c r="BK1024" s="77"/>
      <c r="BL1024" s="77"/>
      <c r="BM1024" s="77"/>
      <c r="BN1024" s="158"/>
      <c r="BO1024" s="158"/>
    </row>
    <row r="1025" spans="1:67" ht="15" x14ac:dyDescent="0.25">
      <c r="A1025" s="71"/>
      <c r="B1025" s="11"/>
      <c r="C1025" s="11"/>
      <c r="D1025" s="11"/>
      <c r="E1025" s="11"/>
      <c r="F1025" s="11"/>
      <c r="G1025" s="11"/>
      <c r="H1025" s="11"/>
      <c r="I1025" s="11"/>
      <c r="J1025" s="249"/>
      <c r="K1025" s="73"/>
      <c r="L1025" s="75"/>
      <c r="M1025" s="73"/>
      <c r="N1025" s="74"/>
      <c r="O1025" s="75"/>
      <c r="P1025" s="73"/>
      <c r="Q1025" s="76"/>
      <c r="R1025" s="76"/>
      <c r="S1025" s="76"/>
      <c r="T1025" s="76"/>
      <c r="U1025" s="76"/>
      <c r="V1025" s="76"/>
      <c r="W1025" s="76"/>
      <c r="X1025" s="76"/>
      <c r="Y1025" s="76"/>
      <c r="Z1025" s="77"/>
      <c r="AA1025" s="77"/>
      <c r="AB1025" s="77"/>
      <c r="AC1025" s="77"/>
      <c r="AD1025" s="77"/>
      <c r="AE1025" s="77"/>
      <c r="AF1025" s="77"/>
      <c r="AG1025" s="77"/>
      <c r="AH1025" s="78"/>
      <c r="AI1025" s="78"/>
      <c r="AJ1025" s="78"/>
      <c r="AK1025" s="78"/>
      <c r="AL1025" s="78"/>
      <c r="AM1025" s="78"/>
      <c r="AN1025" s="76"/>
      <c r="AO1025" s="76"/>
      <c r="AP1025" s="76"/>
      <c r="AQ1025" s="76"/>
      <c r="AR1025" s="76"/>
      <c r="AS1025" s="76"/>
      <c r="AT1025" s="76"/>
      <c r="AU1025" s="76"/>
      <c r="AV1025" s="76"/>
      <c r="AW1025" s="79"/>
      <c r="AX1025" s="79"/>
      <c r="AY1025" s="79"/>
      <c r="AZ1025" s="79"/>
      <c r="BA1025" s="79"/>
      <c r="BB1025" s="11"/>
      <c r="BC1025" s="11"/>
      <c r="BD1025" s="11"/>
      <c r="BE1025" s="73"/>
      <c r="BF1025" s="73"/>
      <c r="BG1025" s="73"/>
      <c r="BH1025" s="77"/>
      <c r="BI1025" s="77"/>
      <c r="BJ1025" s="77"/>
      <c r="BK1025" s="77"/>
      <c r="BL1025" s="77"/>
      <c r="BM1025" s="77"/>
      <c r="BN1025" s="158"/>
      <c r="BO1025" s="158"/>
    </row>
    <row r="1026" spans="1:67" ht="15" x14ac:dyDescent="0.25">
      <c r="A1026" s="71"/>
      <c r="B1026" s="11"/>
      <c r="C1026" s="11"/>
      <c r="D1026" s="11"/>
      <c r="E1026" s="11"/>
      <c r="F1026" s="11"/>
      <c r="G1026" s="11"/>
      <c r="H1026" s="11"/>
      <c r="I1026" s="11"/>
      <c r="J1026" s="249"/>
      <c r="K1026" s="73"/>
      <c r="L1026" s="75"/>
      <c r="M1026" s="73"/>
      <c r="N1026" s="74"/>
      <c r="O1026" s="75"/>
      <c r="P1026" s="73"/>
      <c r="Q1026" s="76"/>
      <c r="R1026" s="76"/>
      <c r="S1026" s="76"/>
      <c r="T1026" s="76"/>
      <c r="U1026" s="76"/>
      <c r="V1026" s="76"/>
      <c r="W1026" s="76"/>
      <c r="X1026" s="76"/>
      <c r="Y1026" s="76"/>
      <c r="Z1026" s="77"/>
      <c r="AA1026" s="77"/>
      <c r="AB1026" s="77"/>
      <c r="AC1026" s="77"/>
      <c r="AD1026" s="77"/>
      <c r="AE1026" s="77"/>
      <c r="AF1026" s="77"/>
      <c r="AG1026" s="77"/>
      <c r="AH1026" s="78"/>
      <c r="AI1026" s="78"/>
      <c r="AJ1026" s="78"/>
      <c r="AK1026" s="78"/>
      <c r="AL1026" s="78"/>
      <c r="AM1026" s="78"/>
      <c r="AN1026" s="76"/>
      <c r="AO1026" s="76"/>
      <c r="AP1026" s="76"/>
      <c r="AQ1026" s="76"/>
      <c r="AR1026" s="76"/>
      <c r="AS1026" s="76"/>
      <c r="AT1026" s="76"/>
      <c r="AU1026" s="76"/>
      <c r="AV1026" s="76"/>
      <c r="AW1026" s="79"/>
      <c r="AX1026" s="79"/>
      <c r="AY1026" s="79"/>
      <c r="AZ1026" s="79"/>
      <c r="BA1026" s="79"/>
      <c r="BB1026" s="11"/>
      <c r="BC1026" s="11"/>
      <c r="BD1026" s="11"/>
      <c r="BE1026" s="73"/>
      <c r="BF1026" s="73"/>
      <c r="BG1026" s="73"/>
      <c r="BH1026" s="77"/>
      <c r="BI1026" s="77"/>
      <c r="BJ1026" s="77"/>
      <c r="BK1026" s="77"/>
      <c r="BL1026" s="77"/>
      <c r="BM1026" s="77"/>
      <c r="BN1026" s="158"/>
      <c r="BO1026" s="158"/>
    </row>
    <row r="1027" spans="1:67" ht="15" x14ac:dyDescent="0.25">
      <c r="A1027" s="71"/>
      <c r="B1027" s="11"/>
      <c r="C1027" s="11"/>
      <c r="D1027" s="11"/>
      <c r="E1027" s="11"/>
      <c r="F1027" s="11"/>
      <c r="G1027" s="11"/>
      <c r="H1027" s="11"/>
      <c r="I1027" s="11"/>
      <c r="J1027" s="249"/>
      <c r="K1027" s="73"/>
      <c r="L1027" s="75"/>
      <c r="M1027" s="73"/>
      <c r="N1027" s="74"/>
      <c r="O1027" s="75"/>
      <c r="P1027" s="73"/>
      <c r="Q1027" s="76"/>
      <c r="R1027" s="76"/>
      <c r="S1027" s="76"/>
      <c r="T1027" s="76"/>
      <c r="U1027" s="76"/>
      <c r="V1027" s="76"/>
      <c r="W1027" s="76"/>
      <c r="X1027" s="76"/>
      <c r="Y1027" s="76"/>
      <c r="Z1027" s="77"/>
      <c r="AA1027" s="77"/>
      <c r="AB1027" s="77"/>
      <c r="AC1027" s="77"/>
      <c r="AD1027" s="77"/>
      <c r="AE1027" s="77"/>
      <c r="AF1027" s="77"/>
      <c r="AG1027" s="77"/>
      <c r="AH1027" s="78"/>
      <c r="AI1027" s="78"/>
      <c r="AJ1027" s="78"/>
      <c r="AK1027" s="78"/>
      <c r="AL1027" s="78"/>
      <c r="AM1027" s="78"/>
      <c r="AN1027" s="76"/>
      <c r="AO1027" s="76"/>
      <c r="AP1027" s="76"/>
      <c r="AQ1027" s="76"/>
      <c r="AR1027" s="76"/>
      <c r="AS1027" s="76"/>
      <c r="AT1027" s="76"/>
      <c r="AU1027" s="76"/>
      <c r="AV1027" s="76"/>
      <c r="AW1027" s="79"/>
      <c r="AX1027" s="79"/>
      <c r="AY1027" s="79"/>
      <c r="AZ1027" s="79"/>
      <c r="BA1027" s="79"/>
      <c r="BB1027" s="11"/>
      <c r="BC1027" s="11"/>
      <c r="BD1027" s="11"/>
      <c r="BE1027" s="73"/>
      <c r="BF1027" s="73"/>
      <c r="BG1027" s="73"/>
      <c r="BH1027" s="77"/>
      <c r="BI1027" s="77"/>
      <c r="BJ1027" s="77"/>
      <c r="BK1027" s="77"/>
      <c r="BL1027" s="77"/>
      <c r="BM1027" s="77"/>
      <c r="BN1027" s="158"/>
      <c r="BO1027" s="158"/>
    </row>
    <row r="1028" spans="1:67" ht="15" x14ac:dyDescent="0.25">
      <c r="A1028" s="71"/>
      <c r="B1028" s="11"/>
      <c r="C1028" s="11"/>
      <c r="D1028" s="11"/>
      <c r="E1028" s="11"/>
      <c r="F1028" s="11"/>
      <c r="G1028" s="11"/>
      <c r="H1028" s="11"/>
      <c r="I1028" s="11"/>
      <c r="J1028" s="249"/>
      <c r="K1028" s="73"/>
      <c r="L1028" s="75"/>
      <c r="M1028" s="73"/>
      <c r="N1028" s="74"/>
      <c r="O1028" s="75"/>
      <c r="P1028" s="73"/>
      <c r="Q1028" s="76"/>
      <c r="R1028" s="76"/>
      <c r="S1028" s="76"/>
      <c r="T1028" s="76"/>
      <c r="U1028" s="76"/>
      <c r="V1028" s="76"/>
      <c r="W1028" s="76"/>
      <c r="X1028" s="76"/>
      <c r="Y1028" s="76"/>
      <c r="Z1028" s="77"/>
      <c r="AA1028" s="77"/>
      <c r="AB1028" s="77"/>
      <c r="AC1028" s="77"/>
      <c r="AD1028" s="77"/>
      <c r="AE1028" s="77"/>
      <c r="AF1028" s="77"/>
      <c r="AG1028" s="77"/>
      <c r="AH1028" s="78"/>
      <c r="AI1028" s="78"/>
      <c r="AJ1028" s="78"/>
      <c r="AK1028" s="78"/>
      <c r="AL1028" s="78"/>
      <c r="AM1028" s="78"/>
      <c r="AN1028" s="76"/>
      <c r="AO1028" s="76"/>
      <c r="AP1028" s="76"/>
      <c r="AQ1028" s="76"/>
      <c r="AR1028" s="76"/>
      <c r="AS1028" s="76"/>
      <c r="AT1028" s="76"/>
      <c r="AU1028" s="76"/>
      <c r="AV1028" s="76"/>
      <c r="AW1028" s="79"/>
      <c r="AX1028" s="79"/>
      <c r="AY1028" s="79"/>
      <c r="AZ1028" s="79"/>
      <c r="BA1028" s="79"/>
      <c r="BB1028" s="11"/>
      <c r="BC1028" s="11"/>
      <c r="BD1028" s="11"/>
      <c r="BE1028" s="73"/>
      <c r="BF1028" s="73"/>
      <c r="BG1028" s="73"/>
      <c r="BH1028" s="77"/>
      <c r="BI1028" s="77"/>
      <c r="BJ1028" s="77"/>
      <c r="BK1028" s="77"/>
      <c r="BL1028" s="77"/>
      <c r="BM1028" s="77"/>
      <c r="BN1028" s="158"/>
      <c r="BO1028" s="158"/>
    </row>
    <row r="1029" spans="1:67" ht="15" x14ac:dyDescent="0.25">
      <c r="A1029" s="71"/>
      <c r="B1029" s="11"/>
      <c r="C1029" s="11"/>
      <c r="D1029" s="11"/>
      <c r="E1029" s="11"/>
      <c r="F1029" s="11"/>
      <c r="G1029" s="11"/>
      <c r="H1029" s="11"/>
      <c r="I1029" s="11"/>
      <c r="J1029" s="249"/>
      <c r="K1029" s="73"/>
      <c r="L1029" s="75"/>
      <c r="M1029" s="73"/>
      <c r="N1029" s="74"/>
      <c r="O1029" s="75"/>
      <c r="P1029" s="73"/>
      <c r="Q1029" s="76"/>
      <c r="R1029" s="76"/>
      <c r="S1029" s="76"/>
      <c r="T1029" s="76"/>
      <c r="U1029" s="76"/>
      <c r="V1029" s="76"/>
      <c r="W1029" s="76"/>
      <c r="X1029" s="76"/>
      <c r="Y1029" s="76"/>
      <c r="Z1029" s="77"/>
      <c r="AA1029" s="77"/>
      <c r="AB1029" s="77"/>
      <c r="AC1029" s="77"/>
      <c r="AD1029" s="77"/>
      <c r="AE1029" s="77"/>
      <c r="AF1029" s="77"/>
      <c r="AG1029" s="77"/>
      <c r="AH1029" s="78"/>
      <c r="AI1029" s="78"/>
      <c r="AJ1029" s="78"/>
      <c r="AK1029" s="78"/>
      <c r="AL1029" s="78"/>
      <c r="AM1029" s="78"/>
      <c r="AN1029" s="76"/>
      <c r="AO1029" s="76"/>
      <c r="AP1029" s="76"/>
      <c r="AQ1029" s="76"/>
      <c r="AR1029" s="76"/>
      <c r="AS1029" s="76"/>
      <c r="AT1029" s="76"/>
      <c r="AU1029" s="76"/>
      <c r="AV1029" s="76"/>
      <c r="AW1029" s="79"/>
      <c r="AX1029" s="79"/>
      <c r="AY1029" s="79"/>
      <c r="AZ1029" s="79"/>
      <c r="BA1029" s="79"/>
      <c r="BB1029" s="11"/>
      <c r="BC1029" s="11"/>
      <c r="BD1029" s="11"/>
      <c r="BE1029" s="73"/>
      <c r="BF1029" s="73"/>
      <c r="BG1029" s="73"/>
      <c r="BH1029" s="77"/>
      <c r="BI1029" s="77"/>
      <c r="BJ1029" s="77"/>
      <c r="BK1029" s="77"/>
      <c r="BL1029" s="77"/>
      <c r="BM1029" s="77"/>
      <c r="BN1029" s="158"/>
      <c r="BO1029" s="158"/>
    </row>
    <row r="1030" spans="1:67" ht="15" x14ac:dyDescent="0.25">
      <c r="A1030" s="71"/>
      <c r="B1030" s="11"/>
      <c r="C1030" s="11"/>
      <c r="D1030" s="11"/>
      <c r="E1030" s="11"/>
      <c r="F1030" s="11"/>
      <c r="G1030" s="11"/>
      <c r="H1030" s="11"/>
      <c r="I1030" s="11"/>
      <c r="J1030" s="249"/>
      <c r="K1030" s="73"/>
      <c r="L1030" s="75"/>
      <c r="M1030" s="73"/>
      <c r="N1030" s="74"/>
      <c r="O1030" s="75"/>
      <c r="P1030" s="73"/>
      <c r="Q1030" s="76"/>
      <c r="R1030" s="76"/>
      <c r="S1030" s="76"/>
      <c r="T1030" s="76"/>
      <c r="U1030" s="76"/>
      <c r="V1030" s="76"/>
      <c r="W1030" s="76"/>
      <c r="X1030" s="76"/>
      <c r="Y1030" s="76"/>
      <c r="Z1030" s="77"/>
      <c r="AA1030" s="77"/>
      <c r="AB1030" s="77"/>
      <c r="AC1030" s="77"/>
      <c r="AD1030" s="77"/>
      <c r="AE1030" s="77"/>
      <c r="AF1030" s="77"/>
      <c r="AG1030" s="77"/>
      <c r="AH1030" s="78"/>
      <c r="AI1030" s="78"/>
      <c r="AJ1030" s="78"/>
      <c r="AK1030" s="78"/>
      <c r="AL1030" s="78"/>
      <c r="AM1030" s="78"/>
      <c r="AN1030" s="76"/>
      <c r="AO1030" s="76"/>
      <c r="AP1030" s="76"/>
      <c r="AQ1030" s="76"/>
      <c r="AR1030" s="76"/>
      <c r="AS1030" s="76"/>
      <c r="AT1030" s="76"/>
      <c r="AU1030" s="76"/>
      <c r="AV1030" s="76"/>
      <c r="AW1030" s="79"/>
      <c r="AX1030" s="79"/>
      <c r="AY1030" s="79"/>
      <c r="AZ1030" s="79"/>
      <c r="BA1030" s="79"/>
      <c r="BB1030" s="11"/>
      <c r="BC1030" s="11"/>
      <c r="BD1030" s="11"/>
      <c r="BE1030" s="73"/>
      <c r="BF1030" s="73"/>
      <c r="BG1030" s="73"/>
      <c r="BH1030" s="77"/>
      <c r="BI1030" s="77"/>
      <c r="BJ1030" s="77"/>
      <c r="BK1030" s="77"/>
      <c r="BL1030" s="77"/>
      <c r="BM1030" s="77"/>
      <c r="BN1030" s="158"/>
      <c r="BO1030" s="158"/>
    </row>
    <row r="1031" spans="1:67" ht="15" x14ac:dyDescent="0.25">
      <c r="A1031" s="71"/>
      <c r="B1031" s="11"/>
      <c r="C1031" s="11"/>
      <c r="D1031" s="11"/>
      <c r="E1031" s="11"/>
      <c r="F1031" s="11"/>
      <c r="G1031" s="11"/>
      <c r="H1031" s="11"/>
      <c r="I1031" s="11"/>
      <c r="J1031" s="249"/>
      <c r="K1031" s="73"/>
      <c r="L1031" s="75"/>
      <c r="M1031" s="73"/>
      <c r="N1031" s="74"/>
      <c r="O1031" s="75"/>
      <c r="P1031" s="73"/>
      <c r="Q1031" s="76"/>
      <c r="R1031" s="76"/>
      <c r="S1031" s="76"/>
      <c r="T1031" s="76"/>
      <c r="U1031" s="76"/>
      <c r="V1031" s="76"/>
      <c r="W1031" s="76"/>
      <c r="X1031" s="76"/>
      <c r="Y1031" s="76"/>
      <c r="Z1031" s="77"/>
      <c r="AA1031" s="77"/>
      <c r="AB1031" s="77"/>
      <c r="AC1031" s="77"/>
      <c r="AD1031" s="77"/>
      <c r="AE1031" s="77"/>
      <c r="AF1031" s="77"/>
      <c r="AG1031" s="77"/>
      <c r="AH1031" s="78"/>
      <c r="AI1031" s="78"/>
      <c r="AJ1031" s="78"/>
      <c r="AK1031" s="78"/>
      <c r="AL1031" s="78"/>
      <c r="AM1031" s="78"/>
      <c r="AN1031" s="76"/>
      <c r="AO1031" s="76"/>
      <c r="AP1031" s="76"/>
      <c r="AQ1031" s="76"/>
      <c r="AR1031" s="76"/>
      <c r="AS1031" s="76"/>
      <c r="AT1031" s="76"/>
      <c r="AU1031" s="76"/>
      <c r="AV1031" s="76"/>
      <c r="AW1031" s="79"/>
      <c r="AX1031" s="79"/>
      <c r="AY1031" s="79"/>
      <c r="AZ1031" s="79"/>
      <c r="BA1031" s="79"/>
      <c r="BB1031" s="11"/>
      <c r="BC1031" s="11"/>
      <c r="BD1031" s="11"/>
      <c r="BE1031" s="73"/>
      <c r="BF1031" s="73"/>
      <c r="BG1031" s="73"/>
      <c r="BH1031" s="77"/>
      <c r="BI1031" s="77"/>
      <c r="BJ1031" s="77"/>
      <c r="BK1031" s="77"/>
      <c r="BL1031" s="77"/>
      <c r="BM1031" s="77"/>
      <c r="BN1031" s="158"/>
      <c r="BO1031" s="158"/>
    </row>
    <row r="1032" spans="1:67" ht="15" x14ac:dyDescent="0.25">
      <c r="A1032" s="71"/>
      <c r="B1032" s="11"/>
      <c r="C1032" s="11"/>
      <c r="D1032" s="11"/>
      <c r="E1032" s="11"/>
      <c r="F1032" s="11"/>
      <c r="G1032" s="11"/>
      <c r="H1032" s="11"/>
      <c r="I1032" s="11"/>
      <c r="J1032" s="249"/>
      <c r="K1032" s="73"/>
      <c r="L1032" s="75"/>
      <c r="M1032" s="73"/>
      <c r="N1032" s="74"/>
      <c r="O1032" s="75"/>
      <c r="P1032" s="73"/>
      <c r="Q1032" s="76"/>
      <c r="R1032" s="76"/>
      <c r="S1032" s="76"/>
      <c r="T1032" s="76"/>
      <c r="U1032" s="76"/>
      <c r="V1032" s="76"/>
      <c r="W1032" s="76"/>
      <c r="X1032" s="76"/>
      <c r="Y1032" s="76"/>
      <c r="Z1032" s="77"/>
      <c r="AA1032" s="77"/>
      <c r="AB1032" s="77"/>
      <c r="AC1032" s="77"/>
      <c r="AD1032" s="77"/>
      <c r="AE1032" s="77"/>
      <c r="AF1032" s="77"/>
      <c r="AG1032" s="77"/>
      <c r="AH1032" s="78"/>
      <c r="AI1032" s="78"/>
      <c r="AJ1032" s="78"/>
      <c r="AK1032" s="78"/>
      <c r="AL1032" s="78"/>
      <c r="AM1032" s="78"/>
      <c r="AN1032" s="76"/>
      <c r="AO1032" s="76"/>
      <c r="AP1032" s="76"/>
      <c r="AQ1032" s="76"/>
      <c r="AR1032" s="76"/>
      <c r="AS1032" s="76"/>
      <c r="AT1032" s="76"/>
      <c r="AU1032" s="76"/>
      <c r="AV1032" s="76"/>
      <c r="AW1032" s="79"/>
      <c r="AX1032" s="79"/>
      <c r="AY1032" s="79"/>
      <c r="AZ1032" s="79"/>
      <c r="BA1032" s="79"/>
      <c r="BB1032" s="11"/>
      <c r="BC1032" s="11"/>
      <c r="BD1032" s="11"/>
      <c r="BE1032" s="73"/>
      <c r="BF1032" s="73"/>
      <c r="BG1032" s="73"/>
      <c r="BH1032" s="77"/>
      <c r="BI1032" s="77"/>
      <c r="BJ1032" s="77"/>
      <c r="BK1032" s="77"/>
      <c r="BL1032" s="77"/>
      <c r="BM1032" s="77"/>
      <c r="BN1032" s="158"/>
      <c r="BO1032" s="158"/>
    </row>
    <row r="1033" spans="1:67" ht="15" x14ac:dyDescent="0.25">
      <c r="A1033" s="71"/>
      <c r="B1033" s="11"/>
      <c r="C1033" s="11"/>
      <c r="D1033" s="11"/>
      <c r="E1033" s="11"/>
      <c r="F1033" s="11"/>
      <c r="G1033" s="11"/>
      <c r="H1033" s="11"/>
      <c r="I1033" s="11"/>
      <c r="J1033" s="249"/>
      <c r="K1033" s="73"/>
      <c r="L1033" s="75"/>
      <c r="M1033" s="73"/>
      <c r="N1033" s="74"/>
      <c r="O1033" s="75"/>
      <c r="P1033" s="73"/>
      <c r="Q1033" s="76"/>
      <c r="R1033" s="76"/>
      <c r="S1033" s="76"/>
      <c r="T1033" s="76"/>
      <c r="U1033" s="76"/>
      <c r="V1033" s="76"/>
      <c r="W1033" s="76"/>
      <c r="X1033" s="76"/>
      <c r="Y1033" s="76"/>
      <c r="Z1033" s="77"/>
      <c r="AA1033" s="77"/>
      <c r="AB1033" s="77"/>
      <c r="AC1033" s="77"/>
      <c r="AD1033" s="77"/>
      <c r="AE1033" s="77"/>
      <c r="AF1033" s="77"/>
      <c r="AG1033" s="77"/>
      <c r="AH1033" s="78"/>
      <c r="AI1033" s="78"/>
      <c r="AJ1033" s="78"/>
      <c r="AK1033" s="78"/>
      <c r="AL1033" s="78"/>
      <c r="AM1033" s="78"/>
      <c r="AN1033" s="76"/>
      <c r="AO1033" s="76"/>
      <c r="AP1033" s="76"/>
      <c r="AQ1033" s="76"/>
      <c r="AR1033" s="76"/>
      <c r="AS1033" s="76"/>
      <c r="AT1033" s="76"/>
      <c r="AU1033" s="76"/>
      <c r="AV1033" s="76"/>
      <c r="AW1033" s="79"/>
      <c r="AX1033" s="79"/>
      <c r="AY1033" s="79"/>
      <c r="AZ1033" s="79"/>
      <c r="BA1033" s="79"/>
      <c r="BB1033" s="11"/>
      <c r="BC1033" s="11"/>
      <c r="BD1033" s="11"/>
      <c r="BE1033" s="73"/>
      <c r="BF1033" s="73"/>
      <c r="BG1033" s="73"/>
      <c r="BH1033" s="77"/>
      <c r="BI1033" s="77"/>
      <c r="BJ1033" s="77"/>
      <c r="BK1033" s="77"/>
      <c r="BL1033" s="77"/>
      <c r="BM1033" s="77"/>
      <c r="BN1033" s="158"/>
      <c r="BO1033" s="158"/>
    </row>
    <row r="1034" spans="1:67" ht="15" x14ac:dyDescent="0.25">
      <c r="A1034" s="71"/>
      <c r="B1034" s="11"/>
      <c r="C1034" s="11"/>
      <c r="D1034" s="11"/>
      <c r="E1034" s="11"/>
      <c r="F1034" s="11"/>
      <c r="G1034" s="11"/>
      <c r="H1034" s="11"/>
      <c r="I1034" s="11"/>
      <c r="J1034" s="249"/>
      <c r="K1034" s="73"/>
      <c r="L1034" s="75"/>
      <c r="M1034" s="73"/>
      <c r="N1034" s="74"/>
      <c r="O1034" s="75"/>
      <c r="P1034" s="73"/>
      <c r="Q1034" s="76"/>
      <c r="R1034" s="76"/>
      <c r="S1034" s="76"/>
      <c r="T1034" s="76"/>
      <c r="U1034" s="76"/>
      <c r="V1034" s="76"/>
      <c r="W1034" s="76"/>
      <c r="X1034" s="76"/>
      <c r="Y1034" s="76"/>
      <c r="Z1034" s="77"/>
      <c r="AA1034" s="77"/>
      <c r="AB1034" s="77"/>
      <c r="AC1034" s="77"/>
      <c r="AD1034" s="77"/>
      <c r="AE1034" s="77"/>
      <c r="AF1034" s="77"/>
      <c r="AG1034" s="77"/>
      <c r="AH1034" s="78"/>
      <c r="AI1034" s="78"/>
      <c r="AJ1034" s="78"/>
      <c r="AK1034" s="78"/>
      <c r="AL1034" s="78"/>
      <c r="AM1034" s="78"/>
      <c r="AN1034" s="76"/>
      <c r="AO1034" s="76"/>
      <c r="AP1034" s="76"/>
      <c r="AQ1034" s="76"/>
      <c r="AR1034" s="76"/>
      <c r="AS1034" s="76"/>
      <c r="AT1034" s="76"/>
      <c r="AU1034" s="76"/>
      <c r="AV1034" s="76"/>
      <c r="AW1034" s="79"/>
      <c r="AX1034" s="79"/>
      <c r="AY1034" s="79"/>
      <c r="AZ1034" s="79"/>
      <c r="BA1034" s="79"/>
      <c r="BB1034" s="11"/>
      <c r="BC1034" s="11"/>
      <c r="BD1034" s="11"/>
      <c r="BE1034" s="73"/>
      <c r="BF1034" s="73"/>
      <c r="BG1034" s="73"/>
      <c r="BH1034" s="77"/>
      <c r="BI1034" s="77"/>
      <c r="BJ1034" s="77"/>
      <c r="BK1034" s="77"/>
      <c r="BL1034" s="77"/>
      <c r="BM1034" s="77"/>
      <c r="BN1034" s="158"/>
      <c r="BO1034" s="158"/>
    </row>
    <row r="1035" spans="1:67" ht="15" x14ac:dyDescent="0.25">
      <c r="A1035" s="71"/>
      <c r="B1035" s="11"/>
      <c r="C1035" s="11"/>
      <c r="D1035" s="11"/>
      <c r="E1035" s="11"/>
      <c r="F1035" s="11"/>
      <c r="G1035" s="11"/>
      <c r="H1035" s="11"/>
      <c r="I1035" s="11"/>
      <c r="J1035" s="249"/>
      <c r="K1035" s="73"/>
      <c r="L1035" s="75"/>
      <c r="M1035" s="73"/>
      <c r="N1035" s="74"/>
      <c r="O1035" s="75"/>
      <c r="P1035" s="73"/>
      <c r="Q1035" s="76"/>
      <c r="R1035" s="76"/>
      <c r="S1035" s="76"/>
      <c r="T1035" s="76"/>
      <c r="U1035" s="76"/>
      <c r="V1035" s="76"/>
      <c r="W1035" s="76"/>
      <c r="X1035" s="76"/>
      <c r="Y1035" s="76"/>
      <c r="Z1035" s="77"/>
      <c r="AA1035" s="77"/>
      <c r="AB1035" s="77"/>
      <c r="AC1035" s="77"/>
      <c r="AD1035" s="77"/>
      <c r="AE1035" s="77"/>
      <c r="AF1035" s="77"/>
      <c r="AG1035" s="77"/>
      <c r="AH1035" s="78"/>
      <c r="AI1035" s="78"/>
      <c r="AJ1035" s="78"/>
      <c r="AK1035" s="78"/>
      <c r="AL1035" s="78"/>
      <c r="AM1035" s="78"/>
      <c r="AN1035" s="76"/>
      <c r="AO1035" s="76"/>
      <c r="AP1035" s="76"/>
      <c r="AQ1035" s="76"/>
      <c r="AR1035" s="76"/>
      <c r="AS1035" s="76"/>
      <c r="AT1035" s="76"/>
      <c r="AU1035" s="76"/>
      <c r="AV1035" s="76"/>
      <c r="AW1035" s="79"/>
      <c r="AX1035" s="79"/>
      <c r="AY1035" s="79"/>
      <c r="AZ1035" s="79"/>
      <c r="BA1035" s="79"/>
      <c r="BB1035" s="11"/>
      <c r="BC1035" s="11"/>
      <c r="BD1035" s="11"/>
      <c r="BE1035" s="73"/>
      <c r="BF1035" s="73"/>
      <c r="BG1035" s="73"/>
      <c r="BH1035" s="77"/>
      <c r="BI1035" s="77"/>
      <c r="BJ1035" s="77"/>
      <c r="BK1035" s="77"/>
      <c r="BL1035" s="77"/>
      <c r="BM1035" s="77"/>
      <c r="BN1035" s="158"/>
      <c r="BO1035" s="158"/>
    </row>
    <row r="1036" spans="1:67" ht="15" x14ac:dyDescent="0.25">
      <c r="A1036" s="71"/>
      <c r="B1036" s="11"/>
      <c r="C1036" s="11"/>
      <c r="D1036" s="11"/>
      <c r="E1036" s="11"/>
      <c r="F1036" s="11"/>
      <c r="G1036" s="11"/>
      <c r="H1036" s="11"/>
      <c r="I1036" s="11"/>
      <c r="J1036" s="249"/>
      <c r="K1036" s="73"/>
      <c r="L1036" s="75"/>
      <c r="M1036" s="73"/>
      <c r="N1036" s="74"/>
      <c r="O1036" s="75"/>
      <c r="P1036" s="73"/>
      <c r="Q1036" s="76"/>
      <c r="R1036" s="76"/>
      <c r="S1036" s="76"/>
      <c r="T1036" s="76"/>
      <c r="U1036" s="76"/>
      <c r="V1036" s="76"/>
      <c r="W1036" s="76"/>
      <c r="X1036" s="76"/>
      <c r="Y1036" s="76"/>
      <c r="Z1036" s="77"/>
      <c r="AA1036" s="77"/>
      <c r="AB1036" s="77"/>
      <c r="AC1036" s="77"/>
      <c r="AD1036" s="77"/>
      <c r="AE1036" s="77"/>
      <c r="AF1036" s="77"/>
      <c r="AG1036" s="77"/>
      <c r="AH1036" s="78"/>
      <c r="AI1036" s="78"/>
      <c r="AJ1036" s="78"/>
      <c r="AK1036" s="78"/>
      <c r="AL1036" s="78"/>
      <c r="AM1036" s="78"/>
      <c r="AN1036" s="76"/>
      <c r="AO1036" s="76"/>
      <c r="AP1036" s="76"/>
      <c r="AQ1036" s="76"/>
      <c r="AR1036" s="76"/>
      <c r="AS1036" s="76"/>
      <c r="AT1036" s="76"/>
      <c r="AU1036" s="76"/>
      <c r="AV1036" s="76"/>
      <c r="AW1036" s="79"/>
      <c r="AX1036" s="79"/>
      <c r="AY1036" s="79"/>
      <c r="AZ1036" s="79"/>
      <c r="BA1036" s="79"/>
      <c r="BB1036" s="11"/>
      <c r="BC1036" s="11"/>
      <c r="BD1036" s="11"/>
      <c r="BE1036" s="73"/>
      <c r="BF1036" s="73"/>
      <c r="BG1036" s="73"/>
      <c r="BH1036" s="77"/>
      <c r="BI1036" s="77"/>
      <c r="BJ1036" s="77"/>
      <c r="BK1036" s="77"/>
      <c r="BL1036" s="77"/>
      <c r="BM1036" s="77"/>
      <c r="BN1036" s="158"/>
      <c r="BO1036" s="158"/>
    </row>
    <row r="1037" spans="1:67" ht="15" x14ac:dyDescent="0.25">
      <c r="A1037" s="71"/>
      <c r="B1037" s="11"/>
      <c r="C1037" s="11"/>
      <c r="D1037" s="11"/>
      <c r="E1037" s="11"/>
      <c r="F1037" s="11"/>
      <c r="G1037" s="11"/>
      <c r="H1037" s="11"/>
      <c r="I1037" s="11"/>
      <c r="J1037" s="249"/>
      <c r="K1037" s="73"/>
      <c r="L1037" s="75"/>
      <c r="M1037" s="73"/>
      <c r="N1037" s="74"/>
      <c r="O1037" s="75"/>
      <c r="P1037" s="73"/>
      <c r="Q1037" s="76"/>
      <c r="R1037" s="76"/>
      <c r="S1037" s="76"/>
      <c r="T1037" s="76"/>
      <c r="U1037" s="76"/>
      <c r="V1037" s="76"/>
      <c r="W1037" s="76"/>
      <c r="X1037" s="76"/>
      <c r="Y1037" s="76"/>
      <c r="Z1037" s="77"/>
      <c r="AA1037" s="77"/>
      <c r="AB1037" s="77"/>
      <c r="AC1037" s="77"/>
      <c r="AD1037" s="77"/>
      <c r="AE1037" s="77"/>
      <c r="AF1037" s="77"/>
      <c r="AG1037" s="77"/>
      <c r="AH1037" s="78"/>
      <c r="AI1037" s="78"/>
      <c r="AJ1037" s="78"/>
      <c r="AK1037" s="78"/>
      <c r="AL1037" s="78"/>
      <c r="AM1037" s="78"/>
      <c r="AN1037" s="76"/>
      <c r="AO1037" s="76"/>
      <c r="AP1037" s="76"/>
      <c r="AQ1037" s="76"/>
      <c r="AR1037" s="76"/>
      <c r="AS1037" s="76"/>
      <c r="AT1037" s="76"/>
      <c r="AU1037" s="76"/>
      <c r="AV1037" s="76"/>
      <c r="AW1037" s="79"/>
      <c r="AX1037" s="79"/>
      <c r="AY1037" s="79"/>
      <c r="AZ1037" s="79"/>
      <c r="BA1037" s="79"/>
      <c r="BB1037" s="11"/>
      <c r="BC1037" s="11"/>
      <c r="BD1037" s="11"/>
      <c r="BE1037" s="73"/>
      <c r="BF1037" s="73"/>
      <c r="BG1037" s="73"/>
      <c r="BH1037" s="77"/>
      <c r="BI1037" s="77"/>
      <c r="BJ1037" s="77"/>
      <c r="BK1037" s="77"/>
      <c r="BL1037" s="77"/>
      <c r="BM1037" s="77"/>
      <c r="BN1037" s="158"/>
      <c r="BO1037" s="158"/>
    </row>
    <row r="1038" spans="1:67" ht="15" x14ac:dyDescent="0.25">
      <c r="A1038" s="71"/>
      <c r="B1038" s="11"/>
      <c r="C1038" s="11"/>
      <c r="D1038" s="11"/>
      <c r="E1038" s="11"/>
      <c r="F1038" s="11"/>
      <c r="G1038" s="11"/>
      <c r="H1038" s="11"/>
      <c r="I1038" s="11"/>
      <c r="J1038" s="249"/>
      <c r="K1038" s="73"/>
      <c r="L1038" s="75"/>
      <c r="M1038" s="73"/>
      <c r="N1038" s="74"/>
      <c r="O1038" s="75"/>
      <c r="P1038" s="73"/>
      <c r="Q1038" s="76"/>
      <c r="R1038" s="76"/>
      <c r="S1038" s="76"/>
      <c r="T1038" s="76"/>
      <c r="U1038" s="76"/>
      <c r="V1038" s="76"/>
      <c r="W1038" s="76"/>
      <c r="X1038" s="76"/>
      <c r="Y1038" s="76"/>
      <c r="Z1038" s="77"/>
      <c r="AA1038" s="77"/>
      <c r="AB1038" s="77"/>
      <c r="AC1038" s="77"/>
      <c r="AD1038" s="77"/>
      <c r="AE1038" s="77"/>
      <c r="AF1038" s="77"/>
      <c r="AG1038" s="77"/>
      <c r="AH1038" s="78"/>
      <c r="AI1038" s="78"/>
      <c r="AJ1038" s="78"/>
      <c r="AK1038" s="78"/>
      <c r="AL1038" s="78"/>
      <c r="AM1038" s="78"/>
      <c r="AN1038" s="76"/>
      <c r="AO1038" s="76"/>
      <c r="AP1038" s="76"/>
      <c r="AQ1038" s="76"/>
      <c r="AR1038" s="76"/>
      <c r="AS1038" s="76"/>
      <c r="AT1038" s="76"/>
      <c r="AU1038" s="76"/>
      <c r="AV1038" s="76"/>
      <c r="AW1038" s="79"/>
      <c r="AX1038" s="79"/>
      <c r="AY1038" s="79"/>
      <c r="AZ1038" s="79"/>
      <c r="BA1038" s="79"/>
      <c r="BB1038" s="11"/>
      <c r="BC1038" s="11"/>
      <c r="BD1038" s="11"/>
      <c r="BE1038" s="73"/>
      <c r="BF1038" s="73"/>
      <c r="BG1038" s="73"/>
      <c r="BH1038" s="77"/>
      <c r="BI1038" s="77"/>
      <c r="BJ1038" s="77"/>
      <c r="BK1038" s="77"/>
      <c r="BL1038" s="77"/>
      <c r="BM1038" s="77"/>
      <c r="BN1038" s="158"/>
      <c r="BO1038" s="158"/>
    </row>
    <row r="1039" spans="1:67" ht="15" x14ac:dyDescent="0.25">
      <c r="A1039" s="71"/>
      <c r="B1039" s="11"/>
      <c r="C1039" s="11"/>
      <c r="D1039" s="11"/>
      <c r="E1039" s="11"/>
      <c r="F1039" s="11"/>
      <c r="G1039" s="11"/>
      <c r="H1039" s="11"/>
      <c r="I1039" s="11"/>
      <c r="J1039" s="249"/>
      <c r="K1039" s="73"/>
      <c r="L1039" s="75"/>
      <c r="M1039" s="73"/>
      <c r="N1039" s="74"/>
      <c r="O1039" s="75"/>
      <c r="P1039" s="73"/>
      <c r="Q1039" s="76"/>
      <c r="R1039" s="76"/>
      <c r="S1039" s="76"/>
      <c r="T1039" s="76"/>
      <c r="U1039" s="76"/>
      <c r="V1039" s="76"/>
      <c r="W1039" s="76"/>
      <c r="X1039" s="76"/>
      <c r="Y1039" s="76"/>
      <c r="Z1039" s="77"/>
      <c r="AA1039" s="77"/>
      <c r="AB1039" s="77"/>
      <c r="AC1039" s="77"/>
      <c r="AD1039" s="77"/>
      <c r="AE1039" s="77"/>
      <c r="AF1039" s="77"/>
      <c r="AG1039" s="77"/>
      <c r="AH1039" s="78"/>
      <c r="AI1039" s="78"/>
      <c r="AJ1039" s="78"/>
      <c r="AK1039" s="78"/>
      <c r="AL1039" s="78"/>
      <c r="AM1039" s="78"/>
      <c r="AN1039" s="76"/>
      <c r="AO1039" s="76"/>
      <c r="AP1039" s="76"/>
      <c r="AQ1039" s="76"/>
      <c r="AR1039" s="76"/>
      <c r="AS1039" s="76"/>
      <c r="AT1039" s="76"/>
      <c r="AU1039" s="76"/>
      <c r="AV1039" s="76"/>
      <c r="AW1039" s="79"/>
      <c r="AX1039" s="79"/>
      <c r="AY1039" s="79"/>
      <c r="AZ1039" s="79"/>
      <c r="BA1039" s="79"/>
      <c r="BB1039" s="11"/>
      <c r="BC1039" s="11"/>
      <c r="BD1039" s="11"/>
      <c r="BE1039" s="73"/>
      <c r="BF1039" s="73"/>
      <c r="BG1039" s="73"/>
      <c r="BH1039" s="77"/>
      <c r="BI1039" s="77"/>
      <c r="BJ1039" s="77"/>
      <c r="BK1039" s="77"/>
      <c r="BL1039" s="77"/>
      <c r="BM1039" s="77"/>
      <c r="BN1039" s="158"/>
      <c r="BO1039" s="158"/>
    </row>
    <row r="1040" spans="1:67" ht="15" x14ac:dyDescent="0.25">
      <c r="A1040" s="71"/>
      <c r="B1040" s="11"/>
      <c r="C1040" s="11"/>
      <c r="D1040" s="11"/>
      <c r="E1040" s="11"/>
      <c r="F1040" s="11"/>
      <c r="G1040" s="11"/>
      <c r="H1040" s="11"/>
      <c r="I1040" s="11"/>
      <c r="J1040" s="249"/>
      <c r="K1040" s="73"/>
      <c r="L1040" s="75"/>
      <c r="M1040" s="73"/>
      <c r="N1040" s="74"/>
      <c r="O1040" s="75"/>
      <c r="P1040" s="73"/>
      <c r="Q1040" s="76"/>
      <c r="R1040" s="76"/>
      <c r="S1040" s="76"/>
      <c r="T1040" s="76"/>
      <c r="U1040" s="76"/>
      <c r="V1040" s="76"/>
      <c r="W1040" s="76"/>
      <c r="X1040" s="76"/>
      <c r="Y1040" s="76"/>
      <c r="Z1040" s="77"/>
      <c r="AA1040" s="77"/>
      <c r="AB1040" s="77"/>
      <c r="AC1040" s="77"/>
      <c r="AD1040" s="77"/>
      <c r="AE1040" s="77"/>
      <c r="AF1040" s="77"/>
      <c r="AG1040" s="77"/>
      <c r="AH1040" s="78"/>
      <c r="AI1040" s="78"/>
      <c r="AJ1040" s="78"/>
      <c r="AK1040" s="78"/>
      <c r="AL1040" s="78"/>
      <c r="AM1040" s="78"/>
      <c r="AN1040" s="76"/>
      <c r="AO1040" s="76"/>
      <c r="AP1040" s="76"/>
      <c r="AQ1040" s="76"/>
      <c r="AR1040" s="76"/>
      <c r="AS1040" s="76"/>
      <c r="AT1040" s="76"/>
      <c r="AU1040" s="76"/>
      <c r="AV1040" s="76"/>
      <c r="AW1040" s="79"/>
      <c r="AX1040" s="79"/>
      <c r="AY1040" s="79"/>
      <c r="AZ1040" s="79"/>
      <c r="BA1040" s="79"/>
      <c r="BB1040" s="11"/>
      <c r="BC1040" s="11"/>
      <c r="BD1040" s="11"/>
      <c r="BE1040" s="73"/>
      <c r="BF1040" s="73"/>
      <c r="BG1040" s="73"/>
      <c r="BH1040" s="77"/>
      <c r="BI1040" s="77"/>
      <c r="BJ1040" s="77"/>
      <c r="BK1040" s="77"/>
      <c r="BL1040" s="77"/>
      <c r="BM1040" s="77"/>
      <c r="BN1040" s="158"/>
      <c r="BO1040" s="158"/>
    </row>
    <row r="1041" spans="1:67" ht="15" x14ac:dyDescent="0.25">
      <c r="A1041" s="71"/>
      <c r="B1041" s="11"/>
      <c r="C1041" s="11"/>
      <c r="D1041" s="11"/>
      <c r="E1041" s="11"/>
      <c r="F1041" s="11"/>
      <c r="G1041" s="11"/>
      <c r="H1041" s="11"/>
      <c r="I1041" s="11"/>
      <c r="J1041" s="249"/>
      <c r="K1041" s="73"/>
      <c r="L1041" s="75"/>
      <c r="M1041" s="73"/>
      <c r="N1041" s="74"/>
      <c r="O1041" s="75"/>
      <c r="P1041" s="73"/>
      <c r="Q1041" s="76"/>
      <c r="R1041" s="76"/>
      <c r="S1041" s="76"/>
      <c r="T1041" s="76"/>
      <c r="U1041" s="76"/>
      <c r="V1041" s="76"/>
      <c r="W1041" s="76"/>
      <c r="X1041" s="76"/>
      <c r="Y1041" s="76"/>
      <c r="Z1041" s="77"/>
      <c r="AA1041" s="77"/>
      <c r="AB1041" s="77"/>
      <c r="AC1041" s="77"/>
      <c r="AD1041" s="77"/>
      <c r="AE1041" s="77"/>
      <c r="AF1041" s="77"/>
      <c r="AG1041" s="77"/>
      <c r="AH1041" s="78"/>
      <c r="AI1041" s="78"/>
      <c r="AJ1041" s="78"/>
      <c r="AK1041" s="78"/>
      <c r="AL1041" s="78"/>
      <c r="AM1041" s="78"/>
      <c r="AN1041" s="76"/>
      <c r="AO1041" s="76"/>
      <c r="AP1041" s="76"/>
      <c r="AQ1041" s="76"/>
      <c r="AR1041" s="76"/>
      <c r="AS1041" s="76"/>
      <c r="AT1041" s="76"/>
      <c r="AU1041" s="76"/>
      <c r="AV1041" s="76"/>
      <c r="AW1041" s="79"/>
      <c r="AX1041" s="79"/>
      <c r="AY1041" s="79"/>
      <c r="AZ1041" s="79"/>
      <c r="BA1041" s="79"/>
      <c r="BB1041" s="11"/>
      <c r="BC1041" s="11"/>
      <c r="BD1041" s="11"/>
      <c r="BE1041" s="73"/>
      <c r="BF1041" s="73"/>
      <c r="BG1041" s="73"/>
      <c r="BH1041" s="77"/>
      <c r="BI1041" s="77"/>
      <c r="BJ1041" s="77"/>
      <c r="BK1041" s="77"/>
      <c r="BL1041" s="77"/>
      <c r="BM1041" s="77"/>
      <c r="BN1041" s="158"/>
      <c r="BO1041" s="158"/>
    </row>
    <row r="1042" spans="1:67" ht="15" x14ac:dyDescent="0.25">
      <c r="A1042" s="71"/>
      <c r="B1042" s="11"/>
      <c r="C1042" s="11"/>
      <c r="D1042" s="11"/>
      <c r="E1042" s="11"/>
      <c r="F1042" s="11"/>
      <c r="G1042" s="11"/>
      <c r="H1042" s="11"/>
      <c r="I1042" s="11"/>
      <c r="J1042" s="249"/>
      <c r="K1042" s="73"/>
      <c r="L1042" s="75"/>
      <c r="M1042" s="73"/>
      <c r="N1042" s="74"/>
      <c r="O1042" s="75"/>
      <c r="P1042" s="73"/>
      <c r="Q1042" s="76"/>
      <c r="R1042" s="76"/>
      <c r="S1042" s="76"/>
      <c r="T1042" s="76"/>
      <c r="U1042" s="76"/>
      <c r="V1042" s="76"/>
      <c r="W1042" s="76"/>
      <c r="X1042" s="76"/>
      <c r="Y1042" s="76"/>
      <c r="Z1042" s="77"/>
      <c r="AA1042" s="77"/>
      <c r="AB1042" s="77"/>
      <c r="AC1042" s="77"/>
      <c r="AD1042" s="77"/>
      <c r="AE1042" s="77"/>
      <c r="AF1042" s="77"/>
      <c r="AG1042" s="77"/>
      <c r="AH1042" s="78"/>
      <c r="AI1042" s="78"/>
      <c r="AJ1042" s="78"/>
      <c r="AK1042" s="78"/>
      <c r="AL1042" s="78"/>
      <c r="AM1042" s="78"/>
      <c r="AN1042" s="76"/>
      <c r="AO1042" s="76"/>
      <c r="AP1042" s="76"/>
      <c r="AQ1042" s="76"/>
      <c r="AR1042" s="76"/>
      <c r="AS1042" s="76"/>
      <c r="AT1042" s="76"/>
      <c r="AU1042" s="76"/>
      <c r="AV1042" s="76"/>
      <c r="AW1042" s="79"/>
      <c r="AX1042" s="79"/>
      <c r="AY1042" s="79"/>
      <c r="AZ1042" s="79"/>
      <c r="BA1042" s="79"/>
      <c r="BB1042" s="11"/>
      <c r="BC1042" s="11"/>
      <c r="BD1042" s="11"/>
      <c r="BE1042" s="73"/>
      <c r="BF1042" s="73"/>
      <c r="BG1042" s="73"/>
      <c r="BH1042" s="77"/>
      <c r="BI1042" s="77"/>
      <c r="BJ1042" s="77"/>
      <c r="BK1042" s="77"/>
      <c r="BL1042" s="77"/>
      <c r="BM1042" s="77"/>
      <c r="BN1042" s="158"/>
      <c r="BO1042" s="158"/>
    </row>
    <row r="1043" spans="1:67" ht="15" x14ac:dyDescent="0.25">
      <c r="A1043" s="71"/>
      <c r="B1043" s="11"/>
      <c r="C1043" s="11"/>
      <c r="D1043" s="11"/>
      <c r="E1043" s="11"/>
      <c r="F1043" s="11"/>
      <c r="G1043" s="11"/>
      <c r="H1043" s="11"/>
      <c r="I1043" s="11"/>
      <c r="J1043" s="249"/>
      <c r="K1043" s="73"/>
      <c r="L1043" s="75"/>
      <c r="M1043" s="73"/>
      <c r="N1043" s="74"/>
      <c r="O1043" s="75"/>
      <c r="P1043" s="73"/>
      <c r="Q1043" s="76"/>
      <c r="R1043" s="76"/>
      <c r="S1043" s="76"/>
      <c r="T1043" s="76"/>
      <c r="U1043" s="76"/>
      <c r="V1043" s="76"/>
      <c r="W1043" s="76"/>
      <c r="X1043" s="76"/>
      <c r="Y1043" s="76"/>
      <c r="Z1043" s="77"/>
      <c r="AA1043" s="77"/>
      <c r="AB1043" s="77"/>
      <c r="AC1043" s="77"/>
      <c r="AD1043" s="77"/>
      <c r="AE1043" s="77"/>
      <c r="AF1043" s="77"/>
      <c r="AG1043" s="77"/>
      <c r="AH1043" s="78"/>
      <c r="AI1043" s="78"/>
      <c r="AJ1043" s="78"/>
      <c r="AK1043" s="78"/>
      <c r="AL1043" s="78"/>
      <c r="AM1043" s="78"/>
      <c r="AN1043" s="76"/>
      <c r="AO1043" s="76"/>
      <c r="AP1043" s="76"/>
      <c r="AQ1043" s="76"/>
      <c r="AR1043" s="76"/>
      <c r="AS1043" s="76"/>
      <c r="AT1043" s="76"/>
      <c r="AU1043" s="76"/>
      <c r="AV1043" s="76"/>
      <c r="AW1043" s="79"/>
      <c r="AX1043" s="79"/>
      <c r="AY1043" s="79"/>
      <c r="AZ1043" s="79"/>
      <c r="BA1043" s="79"/>
      <c r="BB1043" s="11"/>
      <c r="BC1043" s="11"/>
      <c r="BD1043" s="11"/>
      <c r="BE1043" s="73"/>
      <c r="BF1043" s="73"/>
      <c r="BG1043" s="73"/>
      <c r="BH1043" s="77"/>
      <c r="BI1043" s="77"/>
      <c r="BJ1043" s="77"/>
      <c r="BK1043" s="77"/>
      <c r="BL1043" s="77"/>
      <c r="BM1043" s="77"/>
      <c r="BN1043" s="158"/>
      <c r="BO1043" s="158"/>
    </row>
    <row r="1044" spans="1:67" ht="15" x14ac:dyDescent="0.25">
      <c r="A1044" s="71"/>
      <c r="B1044" s="11"/>
      <c r="C1044" s="11"/>
      <c r="D1044" s="11"/>
      <c r="E1044" s="11"/>
      <c r="F1044" s="11"/>
      <c r="G1044" s="11"/>
      <c r="H1044" s="11"/>
      <c r="I1044" s="11"/>
      <c r="J1044" s="249"/>
      <c r="K1044" s="73"/>
      <c r="L1044" s="75"/>
      <c r="M1044" s="73"/>
      <c r="N1044" s="74"/>
      <c r="O1044" s="75"/>
      <c r="P1044" s="73"/>
      <c r="Q1044" s="76"/>
      <c r="R1044" s="76"/>
      <c r="S1044" s="76"/>
      <c r="T1044" s="76"/>
      <c r="U1044" s="76"/>
      <c r="V1044" s="76"/>
      <c r="W1044" s="76"/>
      <c r="X1044" s="76"/>
      <c r="Y1044" s="76"/>
      <c r="Z1044" s="77"/>
      <c r="AA1044" s="77"/>
      <c r="AB1044" s="77"/>
      <c r="AC1044" s="77"/>
      <c r="AD1044" s="77"/>
      <c r="AE1044" s="77"/>
      <c r="AF1044" s="77"/>
      <c r="AG1044" s="77"/>
      <c r="AH1044" s="78"/>
      <c r="AI1044" s="78"/>
      <c r="AJ1044" s="78"/>
      <c r="AK1044" s="78"/>
      <c r="AL1044" s="78"/>
      <c r="AM1044" s="78"/>
      <c r="AN1044" s="76"/>
      <c r="AO1044" s="76"/>
      <c r="AP1044" s="76"/>
      <c r="AQ1044" s="76"/>
      <c r="AR1044" s="76"/>
      <c r="AS1044" s="76"/>
      <c r="AT1044" s="76"/>
      <c r="AU1044" s="76"/>
      <c r="AV1044" s="76"/>
      <c r="AW1044" s="79"/>
      <c r="AX1044" s="79"/>
      <c r="AY1044" s="79"/>
      <c r="AZ1044" s="79"/>
      <c r="BA1044" s="79"/>
      <c r="BB1044" s="11"/>
      <c r="BC1044" s="11"/>
      <c r="BD1044" s="11"/>
      <c r="BE1044" s="73"/>
      <c r="BF1044" s="73"/>
      <c r="BG1044" s="73"/>
      <c r="BH1044" s="77"/>
      <c r="BI1044" s="77"/>
      <c r="BJ1044" s="77"/>
      <c r="BK1044" s="77"/>
      <c r="BL1044" s="77"/>
      <c r="BM1044" s="77"/>
      <c r="BN1044" s="158"/>
      <c r="BO1044" s="158"/>
    </row>
    <row r="1045" spans="1:67" ht="15" x14ac:dyDescent="0.25">
      <c r="A1045" s="71"/>
      <c r="B1045" s="11"/>
      <c r="C1045" s="11"/>
      <c r="D1045" s="11"/>
      <c r="E1045" s="11"/>
      <c r="F1045" s="11"/>
      <c r="G1045" s="11"/>
      <c r="H1045" s="11"/>
      <c r="I1045" s="11"/>
      <c r="J1045" s="249"/>
      <c r="K1045" s="73"/>
      <c r="L1045" s="75"/>
      <c r="M1045" s="73"/>
      <c r="N1045" s="74"/>
      <c r="O1045" s="75"/>
      <c r="P1045" s="73"/>
      <c r="Q1045" s="76"/>
      <c r="R1045" s="76"/>
      <c r="S1045" s="76"/>
      <c r="T1045" s="76"/>
      <c r="U1045" s="76"/>
      <c r="V1045" s="76"/>
      <c r="W1045" s="76"/>
      <c r="X1045" s="76"/>
      <c r="Y1045" s="76"/>
      <c r="Z1045" s="77"/>
      <c r="AA1045" s="77"/>
      <c r="AB1045" s="77"/>
      <c r="AC1045" s="77"/>
      <c r="AD1045" s="77"/>
      <c r="AE1045" s="77"/>
      <c r="AF1045" s="77"/>
      <c r="AG1045" s="77"/>
      <c r="AH1045" s="78"/>
      <c r="AI1045" s="78"/>
      <c r="AJ1045" s="78"/>
      <c r="AK1045" s="78"/>
      <c r="AL1045" s="78"/>
      <c r="AM1045" s="78"/>
      <c r="AN1045" s="76"/>
      <c r="AO1045" s="76"/>
      <c r="AP1045" s="76"/>
      <c r="AQ1045" s="76"/>
      <c r="AR1045" s="76"/>
      <c r="AS1045" s="76"/>
      <c r="AT1045" s="76"/>
      <c r="AU1045" s="76"/>
      <c r="AV1045" s="76"/>
      <c r="AW1045" s="79"/>
      <c r="AX1045" s="79"/>
      <c r="AY1045" s="79"/>
      <c r="AZ1045" s="79"/>
      <c r="BA1045" s="79"/>
      <c r="BB1045" s="11"/>
      <c r="BC1045" s="11"/>
      <c r="BD1045" s="11"/>
      <c r="BE1045" s="73"/>
      <c r="BF1045" s="73"/>
      <c r="BG1045" s="73"/>
      <c r="BH1045" s="77"/>
      <c r="BI1045" s="77"/>
      <c r="BJ1045" s="77"/>
      <c r="BK1045" s="77"/>
      <c r="BL1045" s="77"/>
      <c r="BM1045" s="77"/>
      <c r="BN1045" s="158"/>
      <c r="BO1045" s="158"/>
    </row>
    <row r="1046" spans="1:67" ht="15" x14ac:dyDescent="0.25">
      <c r="A1046" s="71"/>
      <c r="B1046" s="11"/>
      <c r="C1046" s="11"/>
      <c r="D1046" s="11"/>
      <c r="E1046" s="11"/>
      <c r="F1046" s="11"/>
      <c r="G1046" s="11"/>
      <c r="H1046" s="11"/>
      <c r="I1046" s="11"/>
      <c r="J1046" s="249"/>
      <c r="K1046" s="73"/>
      <c r="L1046" s="75"/>
      <c r="M1046" s="73"/>
      <c r="N1046" s="74"/>
      <c r="O1046" s="75"/>
      <c r="P1046" s="73"/>
      <c r="Q1046" s="76"/>
      <c r="R1046" s="76"/>
      <c r="S1046" s="76"/>
      <c r="T1046" s="76"/>
      <c r="U1046" s="76"/>
      <c r="V1046" s="76"/>
      <c r="W1046" s="76"/>
      <c r="X1046" s="76"/>
      <c r="Y1046" s="76"/>
      <c r="Z1046" s="77"/>
      <c r="AA1046" s="77"/>
      <c r="AB1046" s="77"/>
      <c r="AC1046" s="77"/>
      <c r="AD1046" s="77"/>
      <c r="AE1046" s="77"/>
      <c r="AF1046" s="77"/>
      <c r="AG1046" s="77"/>
      <c r="AH1046" s="78"/>
      <c r="AI1046" s="78"/>
      <c r="AJ1046" s="78"/>
      <c r="AK1046" s="78"/>
      <c r="AL1046" s="78"/>
      <c r="AM1046" s="78"/>
      <c r="AN1046" s="76"/>
      <c r="AO1046" s="76"/>
      <c r="AP1046" s="76"/>
      <c r="AQ1046" s="76"/>
      <c r="AR1046" s="76"/>
      <c r="AS1046" s="76"/>
      <c r="AT1046" s="76"/>
      <c r="AU1046" s="76"/>
      <c r="AV1046" s="76"/>
      <c r="AW1046" s="79"/>
      <c r="AX1046" s="79"/>
      <c r="AY1046" s="79"/>
      <c r="AZ1046" s="79"/>
      <c r="BA1046" s="79"/>
      <c r="BB1046" s="11"/>
      <c r="BC1046" s="11"/>
      <c r="BD1046" s="11"/>
      <c r="BE1046" s="73"/>
      <c r="BF1046" s="73"/>
      <c r="BG1046" s="73"/>
      <c r="BH1046" s="77"/>
      <c r="BI1046" s="77"/>
      <c r="BJ1046" s="77"/>
      <c r="BK1046" s="77"/>
      <c r="BL1046" s="77"/>
      <c r="BM1046" s="77"/>
      <c r="BN1046" s="158"/>
      <c r="BO1046" s="158"/>
    </row>
    <row r="1047" spans="1:67" ht="15" x14ac:dyDescent="0.25">
      <c r="A1047" s="71"/>
      <c r="B1047" s="11"/>
      <c r="C1047" s="11"/>
      <c r="D1047" s="11"/>
      <c r="E1047" s="11"/>
      <c r="F1047" s="11"/>
      <c r="G1047" s="11"/>
      <c r="H1047" s="11"/>
      <c r="I1047" s="11"/>
      <c r="J1047" s="249"/>
      <c r="K1047" s="73"/>
      <c r="L1047" s="75"/>
      <c r="M1047" s="73"/>
      <c r="N1047" s="74"/>
      <c r="O1047" s="75"/>
      <c r="P1047" s="73"/>
      <c r="Q1047" s="76"/>
      <c r="R1047" s="76"/>
      <c r="S1047" s="76"/>
      <c r="T1047" s="76"/>
      <c r="U1047" s="76"/>
      <c r="V1047" s="76"/>
      <c r="W1047" s="76"/>
      <c r="X1047" s="76"/>
      <c r="Y1047" s="76"/>
      <c r="Z1047" s="77"/>
      <c r="AA1047" s="77"/>
      <c r="AB1047" s="77"/>
      <c r="AC1047" s="77"/>
      <c r="AD1047" s="77"/>
      <c r="AE1047" s="77"/>
      <c r="AF1047" s="77"/>
      <c r="AG1047" s="77"/>
      <c r="AH1047" s="78"/>
      <c r="AI1047" s="78"/>
      <c r="AJ1047" s="78"/>
      <c r="AK1047" s="78"/>
      <c r="AL1047" s="78"/>
      <c r="AM1047" s="78"/>
      <c r="AN1047" s="76"/>
      <c r="AO1047" s="76"/>
      <c r="AP1047" s="76"/>
      <c r="AQ1047" s="76"/>
      <c r="AR1047" s="76"/>
      <c r="AS1047" s="76"/>
      <c r="AT1047" s="76"/>
      <c r="AU1047" s="76"/>
      <c r="AV1047" s="76"/>
      <c r="AW1047" s="79"/>
      <c r="AX1047" s="79"/>
      <c r="AY1047" s="79"/>
      <c r="AZ1047" s="79"/>
      <c r="BA1047" s="79"/>
      <c r="BB1047" s="11"/>
      <c r="BC1047" s="11"/>
      <c r="BD1047" s="11"/>
      <c r="BE1047" s="73"/>
      <c r="BF1047" s="73"/>
      <c r="BG1047" s="73"/>
      <c r="BH1047" s="77"/>
      <c r="BI1047" s="77"/>
      <c r="BJ1047" s="77"/>
      <c r="BK1047" s="77"/>
      <c r="BL1047" s="77"/>
      <c r="BM1047" s="77"/>
      <c r="BN1047" s="158"/>
      <c r="BO1047" s="158"/>
    </row>
    <row r="1048" spans="1:67" ht="15" x14ac:dyDescent="0.25">
      <c r="A1048" s="71"/>
      <c r="B1048" s="11"/>
      <c r="C1048" s="11"/>
      <c r="D1048" s="11"/>
      <c r="E1048" s="11"/>
      <c r="F1048" s="11"/>
      <c r="G1048" s="11"/>
      <c r="H1048" s="11"/>
      <c r="I1048" s="11"/>
      <c r="J1048" s="249"/>
      <c r="K1048" s="73"/>
      <c r="L1048" s="75"/>
      <c r="M1048" s="73"/>
      <c r="N1048" s="74"/>
      <c r="O1048" s="75"/>
      <c r="P1048" s="73"/>
      <c r="Q1048" s="76"/>
      <c r="R1048" s="76"/>
      <c r="S1048" s="76"/>
      <c r="T1048" s="76"/>
      <c r="U1048" s="76"/>
      <c r="V1048" s="76"/>
      <c r="W1048" s="76"/>
      <c r="X1048" s="76"/>
      <c r="Y1048" s="76"/>
      <c r="Z1048" s="77"/>
      <c r="AA1048" s="77"/>
      <c r="AB1048" s="77"/>
      <c r="AC1048" s="77"/>
      <c r="AD1048" s="77"/>
      <c r="AE1048" s="77"/>
      <c r="AF1048" s="77"/>
      <c r="AG1048" s="77"/>
      <c r="AH1048" s="78"/>
      <c r="AI1048" s="78"/>
      <c r="AJ1048" s="78"/>
      <c r="AK1048" s="78"/>
      <c r="AL1048" s="78"/>
      <c r="AM1048" s="78"/>
      <c r="AN1048" s="76"/>
      <c r="AO1048" s="76"/>
      <c r="AP1048" s="76"/>
      <c r="AQ1048" s="76"/>
      <c r="AR1048" s="76"/>
      <c r="AS1048" s="76"/>
      <c r="AT1048" s="76"/>
      <c r="AU1048" s="76"/>
      <c r="AV1048" s="76"/>
      <c r="AW1048" s="79"/>
      <c r="AX1048" s="79"/>
      <c r="AY1048" s="79"/>
      <c r="AZ1048" s="79"/>
      <c r="BA1048" s="79"/>
      <c r="BB1048" s="11"/>
      <c r="BC1048" s="11"/>
      <c r="BD1048" s="11"/>
      <c r="BE1048" s="73"/>
      <c r="BF1048" s="73"/>
      <c r="BG1048" s="73"/>
      <c r="BH1048" s="77"/>
      <c r="BI1048" s="77"/>
      <c r="BJ1048" s="77"/>
      <c r="BK1048" s="77"/>
      <c r="BL1048" s="77"/>
      <c r="BM1048" s="77"/>
      <c r="BN1048" s="158"/>
      <c r="BO1048" s="158"/>
    </row>
    <row r="1049" spans="1:67" ht="15" x14ac:dyDescent="0.25">
      <c r="A1049" s="71"/>
      <c r="B1049" s="11"/>
      <c r="C1049" s="11"/>
      <c r="D1049" s="11"/>
      <c r="E1049" s="11"/>
      <c r="F1049" s="11"/>
      <c r="G1049" s="11"/>
      <c r="H1049" s="11"/>
      <c r="I1049" s="11"/>
      <c r="J1049" s="249"/>
      <c r="K1049" s="73"/>
      <c r="L1049" s="75"/>
      <c r="M1049" s="73"/>
      <c r="N1049" s="74"/>
      <c r="O1049" s="75"/>
      <c r="P1049" s="73"/>
      <c r="Q1049" s="76"/>
      <c r="R1049" s="76"/>
      <c r="S1049" s="76"/>
      <c r="T1049" s="76"/>
      <c r="U1049" s="76"/>
      <c r="V1049" s="76"/>
      <c r="W1049" s="76"/>
      <c r="X1049" s="76"/>
      <c r="Y1049" s="76"/>
      <c r="Z1049" s="77"/>
      <c r="AA1049" s="77"/>
      <c r="AB1049" s="77"/>
      <c r="AC1049" s="77"/>
      <c r="AD1049" s="77"/>
      <c r="AE1049" s="77"/>
      <c r="AF1049" s="77"/>
      <c r="AG1049" s="77"/>
      <c r="AH1049" s="78"/>
      <c r="AI1049" s="78"/>
      <c r="AJ1049" s="78"/>
      <c r="AK1049" s="78"/>
      <c r="AL1049" s="78"/>
      <c r="AM1049" s="78"/>
      <c r="AN1049" s="76"/>
      <c r="AO1049" s="76"/>
      <c r="AP1049" s="76"/>
      <c r="AQ1049" s="76"/>
      <c r="AR1049" s="76"/>
      <c r="AS1049" s="76"/>
      <c r="AT1049" s="76"/>
      <c r="AU1049" s="76"/>
      <c r="AV1049" s="76"/>
      <c r="AW1049" s="79"/>
      <c r="AX1049" s="79"/>
      <c r="AY1049" s="79"/>
      <c r="AZ1049" s="79"/>
      <c r="BA1049" s="79"/>
      <c r="BB1049" s="11"/>
      <c r="BC1049" s="11"/>
      <c r="BD1049" s="11"/>
      <c r="BE1049" s="73"/>
      <c r="BF1049" s="73"/>
      <c r="BG1049" s="73"/>
      <c r="BH1049" s="77"/>
      <c r="BI1049" s="77"/>
      <c r="BJ1049" s="77"/>
      <c r="BK1049" s="77"/>
      <c r="BL1049" s="77"/>
      <c r="BM1049" s="77"/>
      <c r="BN1049" s="158"/>
      <c r="BO1049" s="158"/>
    </row>
    <row r="1050" spans="1:67" ht="15" x14ac:dyDescent="0.25">
      <c r="A1050" s="71"/>
      <c r="B1050" s="11"/>
      <c r="C1050" s="11"/>
      <c r="D1050" s="11"/>
      <c r="E1050" s="11"/>
      <c r="F1050" s="11"/>
      <c r="G1050" s="11"/>
      <c r="H1050" s="11"/>
      <c r="I1050" s="11"/>
      <c r="J1050" s="249"/>
      <c r="K1050" s="73"/>
      <c r="L1050" s="75"/>
      <c r="M1050" s="73"/>
      <c r="N1050" s="74"/>
      <c r="O1050" s="75"/>
      <c r="P1050" s="73"/>
      <c r="Q1050" s="76"/>
      <c r="R1050" s="76"/>
      <c r="S1050" s="76"/>
      <c r="T1050" s="76"/>
      <c r="U1050" s="76"/>
      <c r="V1050" s="76"/>
      <c r="W1050" s="76"/>
      <c r="X1050" s="76"/>
      <c r="Y1050" s="76"/>
      <c r="Z1050" s="77"/>
      <c r="AA1050" s="77"/>
      <c r="AB1050" s="77"/>
      <c r="AC1050" s="77"/>
      <c r="AD1050" s="77"/>
      <c r="AE1050" s="77"/>
      <c r="AF1050" s="77"/>
      <c r="AG1050" s="77"/>
      <c r="AH1050" s="78"/>
      <c r="AI1050" s="78"/>
      <c r="AJ1050" s="78"/>
      <c r="AK1050" s="78"/>
      <c r="AL1050" s="78"/>
      <c r="AM1050" s="78"/>
      <c r="AN1050" s="76"/>
      <c r="AO1050" s="76"/>
      <c r="AP1050" s="76"/>
      <c r="AQ1050" s="76"/>
      <c r="AR1050" s="76"/>
      <c r="AS1050" s="76"/>
      <c r="AT1050" s="76"/>
      <c r="AU1050" s="76"/>
      <c r="AV1050" s="76"/>
      <c r="AW1050" s="79"/>
      <c r="AX1050" s="79"/>
      <c r="AY1050" s="79"/>
      <c r="AZ1050" s="79"/>
      <c r="BA1050" s="79"/>
      <c r="BB1050" s="11"/>
      <c r="BC1050" s="11"/>
      <c r="BD1050" s="11"/>
      <c r="BE1050" s="73"/>
      <c r="BF1050" s="73"/>
      <c r="BG1050" s="73"/>
      <c r="BH1050" s="77"/>
      <c r="BI1050" s="77"/>
      <c r="BJ1050" s="77"/>
      <c r="BK1050" s="77"/>
      <c r="BL1050" s="77"/>
      <c r="BM1050" s="77"/>
      <c r="BN1050" s="158"/>
      <c r="BO1050" s="158"/>
    </row>
    <row r="1051" spans="1:67" ht="15" x14ac:dyDescent="0.25">
      <c r="A1051" s="71"/>
      <c r="B1051" s="11"/>
      <c r="C1051" s="11"/>
      <c r="D1051" s="11"/>
      <c r="E1051" s="11"/>
      <c r="F1051" s="11"/>
      <c r="G1051" s="11"/>
      <c r="H1051" s="11"/>
      <c r="I1051" s="11"/>
      <c r="J1051" s="249"/>
      <c r="K1051" s="73"/>
      <c r="L1051" s="75"/>
      <c r="M1051" s="73"/>
      <c r="N1051" s="74"/>
      <c r="O1051" s="75"/>
      <c r="P1051" s="73"/>
      <c r="Q1051" s="76"/>
      <c r="R1051" s="76"/>
      <c r="S1051" s="76"/>
      <c r="T1051" s="76"/>
      <c r="U1051" s="76"/>
      <c r="V1051" s="76"/>
      <c r="W1051" s="76"/>
      <c r="X1051" s="76"/>
      <c r="Y1051" s="76"/>
      <c r="Z1051" s="77"/>
      <c r="AA1051" s="77"/>
      <c r="AB1051" s="77"/>
      <c r="AC1051" s="77"/>
      <c r="AD1051" s="77"/>
      <c r="AE1051" s="77"/>
      <c r="AF1051" s="77"/>
      <c r="AG1051" s="77"/>
      <c r="AH1051" s="78"/>
      <c r="AI1051" s="78"/>
      <c r="AJ1051" s="78"/>
      <c r="AK1051" s="78"/>
      <c r="AL1051" s="78"/>
      <c r="AM1051" s="78"/>
      <c r="AN1051" s="76"/>
      <c r="AO1051" s="76"/>
      <c r="AP1051" s="76"/>
      <c r="AQ1051" s="76"/>
      <c r="AR1051" s="76"/>
      <c r="AS1051" s="76"/>
      <c r="AT1051" s="76"/>
      <c r="AU1051" s="76"/>
      <c r="AV1051" s="76"/>
      <c r="AW1051" s="79"/>
      <c r="AX1051" s="79"/>
      <c r="AY1051" s="79"/>
      <c r="AZ1051" s="79"/>
      <c r="BA1051" s="79"/>
      <c r="BB1051" s="11"/>
      <c r="BC1051" s="11"/>
      <c r="BD1051" s="11"/>
      <c r="BE1051" s="73"/>
      <c r="BF1051" s="73"/>
      <c r="BG1051" s="73"/>
      <c r="BH1051" s="77"/>
      <c r="BI1051" s="77"/>
      <c r="BJ1051" s="77"/>
      <c r="BK1051" s="77"/>
      <c r="BL1051" s="77"/>
      <c r="BM1051" s="77"/>
      <c r="BN1051" s="158"/>
      <c r="BO1051" s="158"/>
    </row>
    <row r="1052" spans="1:67" ht="15" x14ac:dyDescent="0.25">
      <c r="A1052" s="71"/>
      <c r="B1052" s="11"/>
      <c r="C1052" s="11"/>
      <c r="D1052" s="11"/>
      <c r="E1052" s="11"/>
      <c r="F1052" s="11"/>
      <c r="G1052" s="11"/>
      <c r="H1052" s="11"/>
      <c r="I1052" s="11"/>
      <c r="J1052" s="249"/>
      <c r="K1052" s="73"/>
      <c r="L1052" s="75"/>
      <c r="M1052" s="73"/>
      <c r="N1052" s="74"/>
      <c r="O1052" s="75"/>
      <c r="P1052" s="73"/>
      <c r="Q1052" s="76"/>
      <c r="R1052" s="76"/>
      <c r="S1052" s="76"/>
      <c r="T1052" s="76"/>
      <c r="U1052" s="76"/>
      <c r="V1052" s="76"/>
      <c r="W1052" s="76"/>
      <c r="X1052" s="76"/>
      <c r="Y1052" s="76"/>
      <c r="Z1052" s="77"/>
      <c r="AA1052" s="77"/>
      <c r="AB1052" s="77"/>
      <c r="AC1052" s="77"/>
      <c r="AD1052" s="77"/>
      <c r="AE1052" s="77"/>
      <c r="AF1052" s="77"/>
      <c r="AG1052" s="77"/>
      <c r="AH1052" s="78"/>
      <c r="AI1052" s="78"/>
      <c r="AJ1052" s="78"/>
      <c r="AK1052" s="78"/>
      <c r="AL1052" s="78"/>
      <c r="AM1052" s="78"/>
      <c r="AN1052" s="76"/>
      <c r="AO1052" s="76"/>
      <c r="AP1052" s="76"/>
      <c r="AQ1052" s="76"/>
      <c r="AR1052" s="76"/>
      <c r="AS1052" s="76"/>
      <c r="AT1052" s="76"/>
      <c r="AU1052" s="76"/>
      <c r="AV1052" s="76"/>
      <c r="AW1052" s="79"/>
      <c r="AX1052" s="79"/>
      <c r="AY1052" s="79"/>
      <c r="AZ1052" s="79"/>
      <c r="BA1052" s="79"/>
      <c r="BB1052" s="11"/>
      <c r="BC1052" s="11"/>
      <c r="BD1052" s="11"/>
      <c r="BE1052" s="73"/>
      <c r="BF1052" s="73"/>
      <c r="BG1052" s="73"/>
      <c r="BH1052" s="77"/>
      <c r="BI1052" s="77"/>
      <c r="BJ1052" s="77"/>
      <c r="BK1052" s="77"/>
      <c r="BL1052" s="77"/>
      <c r="BM1052" s="77"/>
      <c r="BN1052" s="158"/>
      <c r="BO1052" s="158"/>
    </row>
    <row r="1053" spans="1:67" ht="15" x14ac:dyDescent="0.25">
      <c r="A1053" s="71"/>
      <c r="B1053" s="11"/>
      <c r="C1053" s="11"/>
      <c r="D1053" s="11"/>
      <c r="E1053" s="11"/>
      <c r="F1053" s="11"/>
      <c r="G1053" s="11"/>
      <c r="H1053" s="11"/>
      <c r="I1053" s="11"/>
      <c r="J1053" s="249"/>
      <c r="K1053" s="73"/>
      <c r="L1053" s="75"/>
      <c r="M1053" s="73"/>
      <c r="N1053" s="74"/>
      <c r="O1053" s="75"/>
      <c r="P1053" s="73"/>
      <c r="Q1053" s="76"/>
      <c r="R1053" s="76"/>
      <c r="S1053" s="76"/>
      <c r="T1053" s="76"/>
      <c r="U1053" s="76"/>
      <c r="V1053" s="76"/>
      <c r="W1053" s="76"/>
      <c r="X1053" s="76"/>
      <c r="Y1053" s="76"/>
      <c r="Z1053" s="77"/>
      <c r="AA1053" s="77"/>
      <c r="AB1053" s="77"/>
      <c r="AC1053" s="77"/>
      <c r="AD1053" s="77"/>
      <c r="AE1053" s="77"/>
      <c r="AF1053" s="77"/>
      <c r="AG1053" s="77"/>
      <c r="AH1053" s="78"/>
      <c r="AI1053" s="78"/>
      <c r="AJ1053" s="78"/>
      <c r="AK1053" s="78"/>
      <c r="AL1053" s="78"/>
      <c r="AM1053" s="78"/>
      <c r="AN1053" s="76"/>
      <c r="AO1053" s="76"/>
      <c r="AP1053" s="76"/>
      <c r="AQ1053" s="76"/>
      <c r="AR1053" s="76"/>
      <c r="AS1053" s="76"/>
      <c r="AT1053" s="76"/>
      <c r="AU1053" s="76"/>
      <c r="AV1053" s="76"/>
      <c r="AW1053" s="79"/>
      <c r="AX1053" s="79"/>
      <c r="AY1053" s="79"/>
      <c r="AZ1053" s="79"/>
      <c r="BA1053" s="79"/>
      <c r="BB1053" s="11"/>
      <c r="BC1053" s="11"/>
      <c r="BD1053" s="11"/>
      <c r="BE1053" s="73"/>
      <c r="BF1053" s="73"/>
      <c r="BG1053" s="73"/>
      <c r="BH1053" s="77"/>
      <c r="BI1053" s="77"/>
      <c r="BJ1053" s="77"/>
      <c r="BK1053" s="77"/>
      <c r="BL1053" s="77"/>
      <c r="BM1053" s="77"/>
      <c r="BN1053" s="158"/>
      <c r="BO1053" s="158"/>
    </row>
    <row r="1054" spans="1:67" ht="15" x14ac:dyDescent="0.25">
      <c r="A1054" s="71"/>
      <c r="B1054" s="11"/>
      <c r="C1054" s="11"/>
      <c r="D1054" s="11"/>
      <c r="E1054" s="11"/>
      <c r="F1054" s="11"/>
      <c r="G1054" s="11"/>
      <c r="H1054" s="11"/>
      <c r="I1054" s="11"/>
      <c r="J1054" s="249"/>
      <c r="K1054" s="73"/>
      <c r="L1054" s="75"/>
      <c r="M1054" s="73"/>
      <c r="N1054" s="74"/>
      <c r="O1054" s="75"/>
      <c r="P1054" s="73"/>
      <c r="Q1054" s="76"/>
      <c r="R1054" s="76"/>
      <c r="S1054" s="76"/>
      <c r="T1054" s="76"/>
      <c r="U1054" s="76"/>
      <c r="V1054" s="76"/>
      <c r="W1054" s="76"/>
      <c r="X1054" s="76"/>
      <c r="Y1054" s="76"/>
      <c r="Z1054" s="77"/>
      <c r="AA1054" s="77"/>
      <c r="AB1054" s="77"/>
      <c r="AC1054" s="77"/>
      <c r="AD1054" s="77"/>
      <c r="AE1054" s="77"/>
      <c r="AF1054" s="77"/>
      <c r="AG1054" s="77"/>
      <c r="AH1054" s="78"/>
      <c r="AI1054" s="78"/>
      <c r="AJ1054" s="78"/>
      <c r="AK1054" s="78"/>
      <c r="AL1054" s="78"/>
      <c r="AM1054" s="78"/>
      <c r="AN1054" s="76"/>
      <c r="AO1054" s="76"/>
      <c r="AP1054" s="76"/>
      <c r="AQ1054" s="76"/>
      <c r="AR1054" s="76"/>
      <c r="AS1054" s="76"/>
      <c r="AT1054" s="76"/>
      <c r="AU1054" s="76"/>
      <c r="AV1054" s="76"/>
      <c r="AW1054" s="79"/>
      <c r="AX1054" s="79"/>
      <c r="AY1054" s="79"/>
      <c r="AZ1054" s="79"/>
      <c r="BA1054" s="79"/>
      <c r="BB1054" s="11"/>
      <c r="BC1054" s="11"/>
      <c r="BD1054" s="11"/>
      <c r="BE1054" s="73"/>
      <c r="BF1054" s="73"/>
      <c r="BG1054" s="73"/>
      <c r="BH1054" s="77"/>
      <c r="BI1054" s="77"/>
      <c r="BJ1054" s="77"/>
      <c r="BK1054" s="77"/>
      <c r="BL1054" s="77"/>
      <c r="BM1054" s="77"/>
      <c r="BN1054" s="158"/>
      <c r="BO1054" s="158"/>
    </row>
    <row r="1055" spans="1:67" ht="15" x14ac:dyDescent="0.25">
      <c r="A1055" s="71"/>
      <c r="B1055" s="11"/>
      <c r="C1055" s="11"/>
      <c r="D1055" s="11"/>
      <c r="E1055" s="11"/>
      <c r="F1055" s="11"/>
      <c r="G1055" s="11"/>
      <c r="H1055" s="11"/>
      <c r="I1055" s="11"/>
      <c r="J1055" s="249"/>
      <c r="K1055" s="73"/>
      <c r="L1055" s="75"/>
      <c r="M1055" s="73"/>
      <c r="N1055" s="74"/>
      <c r="O1055" s="75"/>
      <c r="P1055" s="73"/>
      <c r="Q1055" s="76"/>
      <c r="R1055" s="76"/>
      <c r="S1055" s="76"/>
      <c r="T1055" s="76"/>
      <c r="U1055" s="76"/>
      <c r="V1055" s="76"/>
      <c r="W1055" s="76"/>
      <c r="X1055" s="76"/>
      <c r="Y1055" s="76"/>
      <c r="Z1055" s="77"/>
      <c r="AA1055" s="77"/>
      <c r="AB1055" s="77"/>
      <c r="AC1055" s="77"/>
      <c r="AD1055" s="77"/>
      <c r="AE1055" s="77"/>
      <c r="AF1055" s="77"/>
      <c r="AG1055" s="77"/>
      <c r="AH1055" s="78"/>
      <c r="AI1055" s="78"/>
      <c r="AJ1055" s="78"/>
      <c r="AK1055" s="78"/>
      <c r="AL1055" s="78"/>
      <c r="AM1055" s="78"/>
      <c r="AN1055" s="76"/>
      <c r="AO1055" s="76"/>
      <c r="AP1055" s="76"/>
      <c r="AQ1055" s="76"/>
      <c r="AR1055" s="76"/>
      <c r="AS1055" s="76"/>
      <c r="AT1055" s="76"/>
      <c r="AU1055" s="76"/>
      <c r="AV1055" s="76"/>
      <c r="AW1055" s="79"/>
      <c r="AX1055" s="79"/>
      <c r="AY1055" s="79"/>
      <c r="AZ1055" s="79"/>
      <c r="BA1055" s="79"/>
      <c r="BB1055" s="11"/>
      <c r="BC1055" s="11"/>
      <c r="BD1055" s="11"/>
      <c r="BE1055" s="73"/>
      <c r="BF1055" s="73"/>
      <c r="BG1055" s="73"/>
      <c r="BH1055" s="77"/>
      <c r="BI1055" s="77"/>
      <c r="BJ1055" s="77"/>
      <c r="BK1055" s="77"/>
      <c r="BL1055" s="77"/>
      <c r="BM1055" s="77"/>
      <c r="BN1055" s="158"/>
      <c r="BO1055" s="158"/>
    </row>
    <row r="1056" spans="1:67" ht="15" x14ac:dyDescent="0.25">
      <c r="A1056" s="71"/>
      <c r="B1056" s="11"/>
      <c r="C1056" s="11"/>
      <c r="D1056" s="11"/>
      <c r="E1056" s="11"/>
      <c r="F1056" s="11"/>
      <c r="G1056" s="11"/>
      <c r="H1056" s="11"/>
      <c r="I1056" s="11"/>
      <c r="J1056" s="249"/>
      <c r="K1056" s="73"/>
      <c r="L1056" s="75"/>
      <c r="M1056" s="73"/>
      <c r="N1056" s="74"/>
      <c r="O1056" s="75"/>
      <c r="P1056" s="73"/>
      <c r="Q1056" s="76"/>
      <c r="R1056" s="76"/>
      <c r="S1056" s="76"/>
      <c r="T1056" s="76"/>
      <c r="U1056" s="76"/>
      <c r="V1056" s="76"/>
      <c r="W1056" s="76"/>
      <c r="X1056" s="76"/>
      <c r="Y1056" s="76"/>
      <c r="Z1056" s="77"/>
      <c r="AA1056" s="77"/>
      <c r="AB1056" s="77"/>
      <c r="AC1056" s="77"/>
      <c r="AD1056" s="77"/>
      <c r="AE1056" s="77"/>
      <c r="AF1056" s="77"/>
      <c r="AG1056" s="77"/>
      <c r="AH1056" s="78"/>
      <c r="AI1056" s="78"/>
      <c r="AJ1056" s="78"/>
      <c r="AK1056" s="78"/>
      <c r="AL1056" s="78"/>
      <c r="AM1056" s="78"/>
      <c r="AN1056" s="76"/>
      <c r="AO1056" s="76"/>
      <c r="AP1056" s="76"/>
      <c r="AQ1056" s="76"/>
      <c r="AR1056" s="76"/>
      <c r="AS1056" s="76"/>
      <c r="AT1056" s="76"/>
      <c r="AU1056" s="76"/>
      <c r="AV1056" s="76"/>
      <c r="AW1056" s="79"/>
      <c r="AX1056" s="79"/>
      <c r="AY1056" s="79"/>
      <c r="AZ1056" s="79"/>
      <c r="BA1056" s="79"/>
      <c r="BB1056" s="11"/>
      <c r="BC1056" s="11"/>
      <c r="BD1056" s="11"/>
      <c r="BE1056" s="73"/>
      <c r="BF1056" s="73"/>
      <c r="BG1056" s="73"/>
      <c r="BH1056" s="77"/>
      <c r="BI1056" s="77"/>
      <c r="BJ1056" s="77"/>
      <c r="BK1056" s="77"/>
      <c r="BL1056" s="77"/>
      <c r="BM1056" s="77"/>
      <c r="BN1056" s="158"/>
      <c r="BO1056" s="158"/>
    </row>
    <row r="1057" spans="1:67" ht="15" x14ac:dyDescent="0.25">
      <c r="A1057" s="71"/>
      <c r="B1057" s="11"/>
      <c r="C1057" s="11"/>
      <c r="D1057" s="11"/>
      <c r="E1057" s="11"/>
      <c r="F1057" s="11"/>
      <c r="G1057" s="11"/>
      <c r="H1057" s="11"/>
      <c r="I1057" s="11"/>
      <c r="J1057" s="249"/>
      <c r="K1057" s="73"/>
      <c r="L1057" s="75"/>
      <c r="M1057" s="73"/>
      <c r="N1057" s="74"/>
      <c r="O1057" s="75"/>
      <c r="P1057" s="73"/>
      <c r="Q1057" s="76"/>
      <c r="R1057" s="76"/>
      <c r="S1057" s="76"/>
      <c r="T1057" s="76"/>
      <c r="U1057" s="76"/>
      <c r="V1057" s="76"/>
      <c r="W1057" s="76"/>
      <c r="X1057" s="76"/>
      <c r="Y1057" s="76"/>
      <c r="Z1057" s="77"/>
      <c r="AA1057" s="77"/>
      <c r="AB1057" s="77"/>
      <c r="AC1057" s="77"/>
      <c r="AD1057" s="77"/>
      <c r="AE1057" s="77"/>
      <c r="AF1057" s="77"/>
      <c r="AG1057" s="77"/>
      <c r="AH1057" s="78"/>
      <c r="AI1057" s="78"/>
      <c r="AJ1057" s="78"/>
      <c r="AK1057" s="78"/>
      <c r="AL1057" s="78"/>
      <c r="AM1057" s="78"/>
      <c r="AN1057" s="76"/>
      <c r="AO1057" s="76"/>
      <c r="AP1057" s="76"/>
      <c r="AQ1057" s="76"/>
      <c r="AR1057" s="76"/>
      <c r="AS1057" s="76"/>
      <c r="AT1057" s="76"/>
      <c r="AU1057" s="76"/>
      <c r="AV1057" s="76"/>
      <c r="AW1057" s="79"/>
      <c r="AX1057" s="79"/>
      <c r="AY1057" s="79"/>
      <c r="AZ1057" s="79"/>
      <c r="BA1057" s="79"/>
      <c r="BB1057" s="11"/>
      <c r="BC1057" s="11"/>
      <c r="BD1057" s="11"/>
      <c r="BE1057" s="73"/>
      <c r="BF1057" s="73"/>
      <c r="BG1057" s="73"/>
      <c r="BH1057" s="77"/>
      <c r="BI1057" s="77"/>
      <c r="BJ1057" s="77"/>
      <c r="BK1057" s="77"/>
      <c r="BL1057" s="77"/>
      <c r="BM1057" s="77"/>
      <c r="BN1057" s="158"/>
      <c r="BO1057" s="158"/>
    </row>
    <row r="1058" spans="1:67" ht="15" x14ac:dyDescent="0.25">
      <c r="A1058" s="71"/>
      <c r="B1058" s="11"/>
      <c r="C1058" s="11"/>
      <c r="D1058" s="11"/>
      <c r="E1058" s="11"/>
      <c r="F1058" s="11"/>
      <c r="G1058" s="11"/>
      <c r="H1058" s="11"/>
      <c r="I1058" s="11"/>
      <c r="J1058" s="249"/>
      <c r="K1058" s="73"/>
      <c r="L1058" s="75"/>
      <c r="M1058" s="73"/>
      <c r="N1058" s="74"/>
      <c r="O1058" s="75"/>
      <c r="P1058" s="73"/>
      <c r="Q1058" s="76"/>
      <c r="R1058" s="76"/>
      <c r="S1058" s="76"/>
      <c r="T1058" s="76"/>
      <c r="U1058" s="76"/>
      <c r="V1058" s="76"/>
      <c r="W1058" s="76"/>
      <c r="X1058" s="76"/>
      <c r="Y1058" s="76"/>
      <c r="Z1058" s="77"/>
      <c r="AA1058" s="77"/>
      <c r="AB1058" s="77"/>
      <c r="AC1058" s="77"/>
      <c r="AD1058" s="77"/>
      <c r="AE1058" s="77"/>
      <c r="AF1058" s="77"/>
      <c r="AG1058" s="77"/>
      <c r="AH1058" s="78"/>
      <c r="AI1058" s="78"/>
      <c r="AJ1058" s="78"/>
      <c r="AK1058" s="78"/>
      <c r="AL1058" s="78"/>
      <c r="AM1058" s="78"/>
      <c r="AN1058" s="76"/>
      <c r="AO1058" s="76"/>
      <c r="AP1058" s="76"/>
      <c r="AQ1058" s="76"/>
      <c r="AR1058" s="76"/>
      <c r="AS1058" s="76"/>
      <c r="AT1058" s="76"/>
      <c r="AU1058" s="76"/>
      <c r="AV1058" s="76"/>
      <c r="AW1058" s="79"/>
      <c r="AX1058" s="79"/>
      <c r="AY1058" s="79"/>
      <c r="AZ1058" s="79"/>
      <c r="BA1058" s="79"/>
      <c r="BB1058" s="11"/>
      <c r="BC1058" s="11"/>
      <c r="BD1058" s="11"/>
      <c r="BE1058" s="73"/>
      <c r="BF1058" s="73"/>
      <c r="BG1058" s="73"/>
      <c r="BH1058" s="77"/>
      <c r="BI1058" s="77"/>
      <c r="BJ1058" s="77"/>
      <c r="BK1058" s="77"/>
      <c r="BL1058" s="77"/>
      <c r="BM1058" s="77"/>
      <c r="BN1058" s="158"/>
      <c r="BO1058" s="158"/>
    </row>
    <row r="1059" spans="1:67" ht="15" x14ac:dyDescent="0.25">
      <c r="A1059" s="71"/>
      <c r="B1059" s="11"/>
      <c r="C1059" s="11"/>
      <c r="D1059" s="11"/>
      <c r="E1059" s="11"/>
      <c r="F1059" s="11"/>
      <c r="G1059" s="11"/>
      <c r="H1059" s="11"/>
      <c r="I1059" s="11"/>
      <c r="J1059" s="249"/>
      <c r="K1059" s="73"/>
      <c r="L1059" s="75"/>
      <c r="M1059" s="73"/>
      <c r="N1059" s="74"/>
      <c r="O1059" s="75"/>
      <c r="P1059" s="73"/>
      <c r="Q1059" s="76"/>
      <c r="R1059" s="76"/>
      <c r="S1059" s="76"/>
      <c r="T1059" s="76"/>
      <c r="U1059" s="76"/>
      <c r="V1059" s="76"/>
      <c r="W1059" s="76"/>
      <c r="X1059" s="76"/>
      <c r="Y1059" s="76"/>
      <c r="Z1059" s="77"/>
      <c r="AA1059" s="77"/>
      <c r="AB1059" s="77"/>
      <c r="AC1059" s="77"/>
      <c r="AD1059" s="77"/>
      <c r="AE1059" s="77"/>
      <c r="AF1059" s="77"/>
      <c r="AG1059" s="77"/>
      <c r="AH1059" s="78"/>
      <c r="AI1059" s="78"/>
      <c r="AJ1059" s="78"/>
      <c r="AK1059" s="78"/>
      <c r="AL1059" s="78"/>
      <c r="AM1059" s="78"/>
      <c r="AN1059" s="76"/>
      <c r="AO1059" s="76"/>
      <c r="AP1059" s="76"/>
      <c r="AQ1059" s="76"/>
      <c r="AR1059" s="76"/>
      <c r="AS1059" s="76"/>
      <c r="AT1059" s="76"/>
      <c r="AU1059" s="76"/>
      <c r="AV1059" s="76"/>
      <c r="AW1059" s="79"/>
      <c r="AX1059" s="79"/>
      <c r="AY1059" s="79"/>
      <c r="AZ1059" s="79"/>
      <c r="BA1059" s="79"/>
      <c r="BB1059" s="11"/>
      <c r="BC1059" s="11"/>
      <c r="BD1059" s="11"/>
      <c r="BE1059" s="73"/>
      <c r="BF1059" s="73"/>
      <c r="BG1059" s="73"/>
      <c r="BH1059" s="77"/>
      <c r="BI1059" s="77"/>
      <c r="BJ1059" s="77"/>
      <c r="BK1059" s="77"/>
      <c r="BL1059" s="77"/>
      <c r="BM1059" s="77"/>
      <c r="BN1059" s="158"/>
      <c r="BO1059" s="158"/>
    </row>
    <row r="1060" spans="1:67" ht="15" x14ac:dyDescent="0.25">
      <c r="A1060" s="71"/>
      <c r="B1060" s="11"/>
      <c r="C1060" s="11"/>
      <c r="D1060" s="11"/>
      <c r="E1060" s="11"/>
      <c r="F1060" s="11"/>
      <c r="G1060" s="11"/>
      <c r="H1060" s="11"/>
      <c r="I1060" s="11"/>
      <c r="J1060" s="249"/>
      <c r="K1060" s="73"/>
      <c r="L1060" s="75"/>
      <c r="M1060" s="73"/>
      <c r="N1060" s="74"/>
      <c r="O1060" s="75"/>
      <c r="P1060" s="73"/>
      <c r="Q1060" s="76"/>
      <c r="R1060" s="76"/>
      <c r="S1060" s="76"/>
      <c r="T1060" s="76"/>
      <c r="U1060" s="76"/>
      <c r="V1060" s="76"/>
      <c r="W1060" s="76"/>
      <c r="X1060" s="76"/>
      <c r="Y1060" s="76"/>
      <c r="Z1060" s="77"/>
      <c r="AA1060" s="77"/>
      <c r="AB1060" s="77"/>
      <c r="AC1060" s="77"/>
      <c r="AD1060" s="77"/>
      <c r="AE1060" s="77"/>
      <c r="AF1060" s="77"/>
      <c r="AG1060" s="77"/>
      <c r="AH1060" s="78"/>
      <c r="AI1060" s="78"/>
      <c r="AJ1060" s="78"/>
      <c r="AK1060" s="78"/>
      <c r="AL1060" s="78"/>
      <c r="AM1060" s="78"/>
      <c r="AN1060" s="76"/>
      <c r="AO1060" s="76"/>
      <c r="AP1060" s="76"/>
      <c r="AQ1060" s="76"/>
      <c r="AR1060" s="76"/>
      <c r="AS1060" s="76"/>
      <c r="AT1060" s="76"/>
      <c r="AU1060" s="76"/>
      <c r="AV1060" s="76"/>
      <c r="AW1060" s="79"/>
      <c r="AX1060" s="79"/>
      <c r="AY1060" s="79"/>
      <c r="AZ1060" s="79"/>
      <c r="BA1060" s="79"/>
      <c r="BB1060" s="11"/>
      <c r="BC1060" s="11"/>
      <c r="BD1060" s="11"/>
      <c r="BE1060" s="73"/>
      <c r="BF1060" s="73"/>
      <c r="BG1060" s="73"/>
      <c r="BH1060" s="77"/>
      <c r="BI1060" s="77"/>
      <c r="BJ1060" s="77"/>
      <c r="BK1060" s="77"/>
      <c r="BL1060" s="77"/>
      <c r="BM1060" s="77"/>
      <c r="BN1060" s="158"/>
      <c r="BO1060" s="158"/>
    </row>
    <row r="1061" spans="1:67" ht="15" x14ac:dyDescent="0.25">
      <c r="A1061" s="71"/>
      <c r="B1061" s="11"/>
      <c r="C1061" s="11"/>
      <c r="D1061" s="11"/>
      <c r="E1061" s="11"/>
      <c r="F1061" s="11"/>
      <c r="G1061" s="11"/>
      <c r="H1061" s="11"/>
      <c r="I1061" s="11"/>
      <c r="J1061" s="249"/>
      <c r="K1061" s="73"/>
      <c r="L1061" s="75"/>
      <c r="M1061" s="73"/>
      <c r="N1061" s="74"/>
      <c r="O1061" s="75"/>
      <c r="P1061" s="73"/>
      <c r="Q1061" s="76"/>
      <c r="R1061" s="76"/>
      <c r="S1061" s="76"/>
      <c r="T1061" s="76"/>
      <c r="U1061" s="76"/>
      <c r="V1061" s="76"/>
      <c r="W1061" s="76"/>
      <c r="X1061" s="76"/>
      <c r="Y1061" s="76"/>
      <c r="Z1061" s="77"/>
      <c r="AA1061" s="77"/>
      <c r="AB1061" s="77"/>
      <c r="AC1061" s="77"/>
      <c r="AD1061" s="77"/>
      <c r="AE1061" s="77"/>
      <c r="AF1061" s="77"/>
      <c r="AG1061" s="77"/>
      <c r="AH1061" s="78"/>
      <c r="AI1061" s="78"/>
      <c r="AJ1061" s="78"/>
      <c r="AK1061" s="78"/>
      <c r="AL1061" s="78"/>
      <c r="AM1061" s="78"/>
      <c r="AN1061" s="76"/>
      <c r="AO1061" s="76"/>
      <c r="AP1061" s="76"/>
      <c r="AQ1061" s="76"/>
      <c r="AR1061" s="76"/>
      <c r="AS1061" s="76"/>
      <c r="AT1061" s="76"/>
      <c r="AU1061" s="76"/>
      <c r="AV1061" s="76"/>
      <c r="AW1061" s="79"/>
      <c r="AX1061" s="79"/>
      <c r="AY1061" s="79"/>
      <c r="AZ1061" s="79"/>
      <c r="BA1061" s="79"/>
      <c r="BB1061" s="11"/>
      <c r="BC1061" s="11"/>
      <c r="BD1061" s="11"/>
      <c r="BE1061" s="73"/>
      <c r="BF1061" s="73"/>
      <c r="BG1061" s="73"/>
      <c r="BH1061" s="77"/>
      <c r="BI1061" s="77"/>
      <c r="BJ1061" s="77"/>
      <c r="BK1061" s="77"/>
      <c r="BL1061" s="77"/>
      <c r="BM1061" s="77"/>
      <c r="BN1061" s="158"/>
      <c r="BO1061" s="158"/>
    </row>
    <row r="1062" spans="1:67" ht="15" x14ac:dyDescent="0.25">
      <c r="A1062" s="71"/>
      <c r="B1062" s="11"/>
      <c r="C1062" s="11"/>
      <c r="D1062" s="11"/>
      <c r="E1062" s="11"/>
      <c r="F1062" s="11"/>
      <c r="G1062" s="11"/>
      <c r="H1062" s="11"/>
      <c r="I1062" s="11"/>
      <c r="J1062" s="249"/>
      <c r="K1062" s="73"/>
      <c r="L1062" s="75"/>
      <c r="M1062" s="73"/>
      <c r="N1062" s="74"/>
      <c r="O1062" s="75"/>
      <c r="P1062" s="73"/>
      <c r="Q1062" s="76"/>
      <c r="R1062" s="76"/>
      <c r="S1062" s="76"/>
      <c r="T1062" s="76"/>
      <c r="U1062" s="76"/>
      <c r="V1062" s="76"/>
      <c r="W1062" s="76"/>
      <c r="X1062" s="76"/>
      <c r="Y1062" s="76"/>
      <c r="Z1062" s="77"/>
      <c r="AA1062" s="77"/>
      <c r="AB1062" s="77"/>
      <c r="AC1062" s="77"/>
      <c r="AD1062" s="77"/>
      <c r="AE1062" s="77"/>
      <c r="AF1062" s="77"/>
      <c r="AG1062" s="77"/>
      <c r="AH1062" s="78"/>
      <c r="AI1062" s="78"/>
      <c r="AJ1062" s="78"/>
      <c r="AK1062" s="78"/>
      <c r="AL1062" s="78"/>
      <c r="AM1062" s="78"/>
      <c r="AN1062" s="76"/>
      <c r="AO1062" s="76"/>
      <c r="AP1062" s="76"/>
      <c r="AQ1062" s="76"/>
      <c r="AR1062" s="76"/>
      <c r="AS1062" s="76"/>
      <c r="AT1062" s="76"/>
      <c r="AU1062" s="76"/>
      <c r="AV1062" s="76"/>
      <c r="AW1062" s="79"/>
      <c r="AX1062" s="79"/>
      <c r="AY1062" s="79"/>
      <c r="AZ1062" s="79"/>
      <c r="BA1062" s="79"/>
      <c r="BB1062" s="11"/>
      <c r="BC1062" s="11"/>
      <c r="BD1062" s="11"/>
      <c r="BE1062" s="73"/>
      <c r="BF1062" s="73"/>
      <c r="BG1062" s="73"/>
      <c r="BH1062" s="77"/>
      <c r="BI1062" s="77"/>
      <c r="BJ1062" s="77"/>
      <c r="BK1062" s="77"/>
      <c r="BL1062" s="77"/>
      <c r="BM1062" s="77"/>
      <c r="BN1062" s="158"/>
      <c r="BO1062" s="158"/>
    </row>
    <row r="1063" spans="1:67" ht="15" x14ac:dyDescent="0.25">
      <c r="A1063" s="71"/>
      <c r="B1063" s="11"/>
      <c r="C1063" s="11"/>
      <c r="D1063" s="11"/>
      <c r="E1063" s="11"/>
      <c r="F1063" s="11"/>
      <c r="G1063" s="11"/>
      <c r="H1063" s="11"/>
      <c r="I1063" s="11"/>
      <c r="J1063" s="249"/>
      <c r="K1063" s="73"/>
      <c r="L1063" s="75"/>
      <c r="M1063" s="73"/>
      <c r="N1063" s="74"/>
      <c r="O1063" s="75"/>
      <c r="P1063" s="73"/>
      <c r="Q1063" s="76"/>
      <c r="R1063" s="76"/>
      <c r="S1063" s="76"/>
      <c r="T1063" s="76"/>
      <c r="U1063" s="76"/>
      <c r="V1063" s="76"/>
      <c r="W1063" s="76"/>
      <c r="X1063" s="76"/>
      <c r="Y1063" s="76"/>
      <c r="Z1063" s="77"/>
      <c r="AA1063" s="77"/>
      <c r="AB1063" s="77"/>
      <c r="AC1063" s="77"/>
      <c r="AD1063" s="77"/>
      <c r="AE1063" s="77"/>
      <c r="AF1063" s="77"/>
      <c r="AG1063" s="77"/>
      <c r="AH1063" s="78"/>
      <c r="AI1063" s="78"/>
      <c r="AJ1063" s="78"/>
      <c r="AK1063" s="78"/>
      <c r="AL1063" s="78"/>
      <c r="AM1063" s="78"/>
      <c r="AN1063" s="76"/>
      <c r="AO1063" s="76"/>
      <c r="AP1063" s="76"/>
      <c r="AQ1063" s="76"/>
      <c r="AR1063" s="76"/>
      <c r="AS1063" s="76"/>
      <c r="AT1063" s="76"/>
      <c r="AU1063" s="76"/>
      <c r="AV1063" s="76"/>
      <c r="AW1063" s="79"/>
      <c r="AX1063" s="79"/>
      <c r="AY1063" s="79"/>
      <c r="AZ1063" s="79"/>
      <c r="BA1063" s="79"/>
      <c r="BB1063" s="11"/>
      <c r="BC1063" s="11"/>
      <c r="BD1063" s="11"/>
      <c r="BE1063" s="73"/>
      <c r="BF1063" s="73"/>
      <c r="BG1063" s="73"/>
      <c r="BH1063" s="77"/>
      <c r="BI1063" s="77"/>
      <c r="BJ1063" s="77"/>
      <c r="BK1063" s="77"/>
      <c r="BL1063" s="77"/>
      <c r="BM1063" s="77"/>
      <c r="BN1063" s="158"/>
      <c r="BO1063" s="158"/>
    </row>
    <row r="1064" spans="1:67" ht="15" x14ac:dyDescent="0.25">
      <c r="A1064" s="71"/>
      <c r="B1064" s="11"/>
      <c r="C1064" s="11"/>
      <c r="D1064" s="11"/>
      <c r="E1064" s="11"/>
      <c r="F1064" s="11"/>
      <c r="G1064" s="11"/>
      <c r="H1064" s="11"/>
      <c r="I1064" s="11"/>
      <c r="J1064" s="249"/>
      <c r="K1064" s="73"/>
      <c r="L1064" s="75"/>
      <c r="M1064" s="73"/>
      <c r="N1064" s="74"/>
      <c r="O1064" s="75"/>
      <c r="P1064" s="73"/>
      <c r="Q1064" s="76"/>
      <c r="R1064" s="76"/>
      <c r="S1064" s="76"/>
      <c r="T1064" s="76"/>
      <c r="U1064" s="76"/>
      <c r="V1064" s="76"/>
      <c r="W1064" s="76"/>
      <c r="X1064" s="76"/>
      <c r="Y1064" s="76"/>
      <c r="Z1064" s="77"/>
      <c r="AA1064" s="77"/>
      <c r="AB1064" s="77"/>
      <c r="AC1064" s="77"/>
      <c r="AD1064" s="77"/>
      <c r="AE1064" s="77"/>
      <c r="AF1064" s="77"/>
      <c r="AG1064" s="77"/>
      <c r="AH1064" s="78"/>
      <c r="AI1064" s="78"/>
      <c r="AJ1064" s="78"/>
      <c r="AK1064" s="78"/>
      <c r="AL1064" s="78"/>
      <c r="AM1064" s="78"/>
      <c r="AN1064" s="76"/>
      <c r="AO1064" s="76"/>
      <c r="AP1064" s="76"/>
      <c r="AQ1064" s="76"/>
      <c r="AR1064" s="76"/>
      <c r="AS1064" s="76"/>
      <c r="AT1064" s="76"/>
      <c r="AU1064" s="76"/>
      <c r="AV1064" s="76"/>
      <c r="AW1064" s="79"/>
      <c r="AX1064" s="79"/>
      <c r="AY1064" s="79"/>
      <c r="AZ1064" s="79"/>
      <c r="BA1064" s="79"/>
      <c r="BB1064" s="11"/>
      <c r="BC1064" s="11"/>
      <c r="BD1064" s="11"/>
      <c r="BE1064" s="73"/>
      <c r="BF1064" s="73"/>
      <c r="BG1064" s="73"/>
      <c r="BH1064" s="77"/>
      <c r="BI1064" s="77"/>
      <c r="BJ1064" s="77"/>
      <c r="BK1064" s="77"/>
      <c r="BL1064" s="77"/>
      <c r="BM1064" s="77"/>
      <c r="BN1064" s="158"/>
      <c r="BO1064" s="158"/>
    </row>
    <row r="1065" spans="1:67" ht="15" x14ac:dyDescent="0.25">
      <c r="A1065" s="71"/>
      <c r="B1065" s="11"/>
      <c r="C1065" s="11"/>
      <c r="D1065" s="11"/>
      <c r="E1065" s="11"/>
      <c r="F1065" s="11"/>
      <c r="G1065" s="11"/>
      <c r="H1065" s="11"/>
      <c r="I1065" s="11"/>
      <c r="J1065" s="249"/>
      <c r="K1065" s="73"/>
      <c r="L1065" s="75"/>
      <c r="M1065" s="73"/>
      <c r="N1065" s="74"/>
      <c r="O1065" s="75"/>
      <c r="P1065" s="73"/>
      <c r="Q1065" s="76"/>
      <c r="R1065" s="76"/>
      <c r="S1065" s="76"/>
      <c r="T1065" s="76"/>
      <c r="U1065" s="76"/>
      <c r="V1065" s="76"/>
      <c r="W1065" s="76"/>
      <c r="X1065" s="76"/>
      <c r="Y1065" s="76"/>
      <c r="Z1065" s="77"/>
      <c r="AA1065" s="77"/>
      <c r="AB1065" s="77"/>
      <c r="AC1065" s="77"/>
      <c r="AD1065" s="77"/>
      <c r="AE1065" s="77"/>
      <c r="AF1065" s="77"/>
      <c r="AG1065" s="77"/>
      <c r="AH1065" s="78"/>
      <c r="AI1065" s="78"/>
      <c r="AJ1065" s="78"/>
      <c r="AK1065" s="78"/>
      <c r="AL1065" s="78"/>
      <c r="AM1065" s="78"/>
      <c r="AN1065" s="76"/>
      <c r="AO1065" s="76"/>
      <c r="AP1065" s="76"/>
      <c r="AQ1065" s="76"/>
      <c r="AR1065" s="76"/>
      <c r="AS1065" s="76"/>
      <c r="AT1065" s="76"/>
      <c r="AU1065" s="76"/>
      <c r="AV1065" s="76"/>
      <c r="AW1065" s="79"/>
      <c r="AX1065" s="79"/>
      <c r="AY1065" s="79"/>
      <c r="AZ1065" s="79"/>
      <c r="BA1065" s="79"/>
      <c r="BB1065" s="11"/>
      <c r="BC1065" s="11"/>
      <c r="BD1065" s="11"/>
      <c r="BE1065" s="73"/>
      <c r="BF1065" s="73"/>
      <c r="BG1065" s="73"/>
      <c r="BH1065" s="77"/>
      <c r="BI1065" s="77"/>
      <c r="BJ1065" s="77"/>
      <c r="BK1065" s="77"/>
      <c r="BL1065" s="77"/>
      <c r="BM1065" s="77"/>
      <c r="BN1065" s="158"/>
      <c r="BO1065" s="158"/>
    </row>
    <row r="1066" spans="1:67" ht="15" x14ac:dyDescent="0.25">
      <c r="A1066" s="71"/>
      <c r="B1066" s="11"/>
      <c r="C1066" s="11"/>
      <c r="D1066" s="11"/>
      <c r="E1066" s="11"/>
      <c r="F1066" s="11"/>
      <c r="G1066" s="11"/>
      <c r="H1066" s="11"/>
      <c r="I1066" s="11"/>
      <c r="J1066" s="249"/>
      <c r="K1066" s="73"/>
      <c r="L1066" s="75"/>
      <c r="M1066" s="73"/>
      <c r="N1066" s="74"/>
      <c r="O1066" s="75"/>
      <c r="P1066" s="73"/>
      <c r="Q1066" s="76"/>
      <c r="R1066" s="76"/>
      <c r="S1066" s="76"/>
      <c r="T1066" s="76"/>
      <c r="U1066" s="76"/>
      <c r="V1066" s="76"/>
      <c r="W1066" s="76"/>
      <c r="X1066" s="76"/>
      <c r="Y1066" s="76"/>
      <c r="Z1066" s="77"/>
      <c r="AA1066" s="77"/>
      <c r="AB1066" s="77"/>
      <c r="AC1066" s="77"/>
      <c r="AD1066" s="77"/>
      <c r="AE1066" s="77"/>
      <c r="AF1066" s="77"/>
      <c r="AG1066" s="77"/>
      <c r="AH1066" s="78"/>
      <c r="AI1066" s="78"/>
      <c r="AJ1066" s="78"/>
      <c r="AK1066" s="78"/>
      <c r="AL1066" s="78"/>
      <c r="AM1066" s="78"/>
      <c r="AN1066" s="76"/>
      <c r="AO1066" s="76"/>
      <c r="AP1066" s="76"/>
      <c r="AQ1066" s="76"/>
      <c r="AR1066" s="76"/>
      <c r="AS1066" s="76"/>
      <c r="AT1066" s="76"/>
      <c r="AU1066" s="76"/>
      <c r="AV1066" s="76"/>
      <c r="AW1066" s="79"/>
      <c r="AX1066" s="79"/>
      <c r="AY1066" s="79"/>
      <c r="AZ1066" s="79"/>
      <c r="BA1066" s="79"/>
      <c r="BB1066" s="11"/>
      <c r="BC1066" s="11"/>
      <c r="BD1066" s="11"/>
      <c r="BE1066" s="73"/>
      <c r="BF1066" s="73"/>
      <c r="BG1066" s="73"/>
      <c r="BH1066" s="77"/>
      <c r="BI1066" s="77"/>
      <c r="BJ1066" s="77"/>
      <c r="BK1066" s="77"/>
      <c r="BL1066" s="77"/>
      <c r="BM1066" s="77"/>
      <c r="BN1066" s="158"/>
      <c r="BO1066" s="158"/>
    </row>
    <row r="1067" spans="1:67" ht="15" x14ac:dyDescent="0.25">
      <c r="A1067" s="71"/>
      <c r="B1067" s="11"/>
      <c r="C1067" s="11"/>
      <c r="D1067" s="11"/>
      <c r="E1067" s="11"/>
      <c r="F1067" s="11"/>
      <c r="G1067" s="11"/>
      <c r="H1067" s="11"/>
      <c r="I1067" s="11"/>
      <c r="J1067" s="249"/>
      <c r="K1067" s="73"/>
      <c r="L1067" s="75"/>
      <c r="M1067" s="73"/>
      <c r="N1067" s="74"/>
      <c r="O1067" s="75"/>
      <c r="P1067" s="73"/>
      <c r="Q1067" s="76"/>
      <c r="R1067" s="76"/>
      <c r="S1067" s="76"/>
      <c r="T1067" s="76"/>
      <c r="U1067" s="76"/>
      <c r="V1067" s="76"/>
      <c r="W1067" s="76"/>
      <c r="X1067" s="76"/>
      <c r="Y1067" s="76"/>
      <c r="Z1067" s="77"/>
      <c r="AA1067" s="77"/>
      <c r="AB1067" s="77"/>
      <c r="AC1067" s="77"/>
      <c r="AD1067" s="77"/>
      <c r="AE1067" s="77"/>
      <c r="AF1067" s="77"/>
      <c r="AG1067" s="77"/>
      <c r="AH1067" s="78"/>
      <c r="AI1067" s="78"/>
      <c r="AJ1067" s="78"/>
      <c r="AK1067" s="78"/>
      <c r="AL1067" s="78"/>
      <c r="AM1067" s="78"/>
      <c r="AN1067" s="76"/>
      <c r="AO1067" s="76"/>
      <c r="AP1067" s="76"/>
      <c r="AQ1067" s="76"/>
      <c r="AR1067" s="76"/>
      <c r="AS1067" s="76"/>
      <c r="AT1067" s="76"/>
      <c r="AU1067" s="76"/>
      <c r="AV1067" s="76"/>
      <c r="AW1067" s="79"/>
      <c r="AX1067" s="79"/>
      <c r="AY1067" s="79"/>
      <c r="AZ1067" s="79"/>
      <c r="BA1067" s="79"/>
      <c r="BB1067" s="11"/>
      <c r="BC1067" s="11"/>
      <c r="BD1067" s="11"/>
      <c r="BE1067" s="73"/>
      <c r="BF1067" s="73"/>
      <c r="BG1067" s="73"/>
      <c r="BH1067" s="77"/>
      <c r="BI1067" s="77"/>
      <c r="BJ1067" s="77"/>
      <c r="BK1067" s="77"/>
      <c r="BL1067" s="77"/>
      <c r="BM1067" s="77"/>
      <c r="BN1067" s="158"/>
      <c r="BO1067" s="158"/>
    </row>
    <row r="1068" spans="1:67" ht="15" x14ac:dyDescent="0.25">
      <c r="A1068" s="71"/>
      <c r="B1068" s="11"/>
      <c r="C1068" s="11"/>
      <c r="D1068" s="11"/>
      <c r="E1068" s="11"/>
      <c r="F1068" s="11"/>
      <c r="G1068" s="11"/>
      <c r="H1068" s="11"/>
      <c r="I1068" s="11"/>
      <c r="J1068" s="249"/>
      <c r="K1068" s="73"/>
      <c r="L1068" s="75"/>
      <c r="M1068" s="73"/>
      <c r="N1068" s="74"/>
      <c r="O1068" s="75"/>
      <c r="P1068" s="73"/>
      <c r="Q1068" s="76"/>
      <c r="R1068" s="76"/>
      <c r="S1068" s="76"/>
      <c r="T1068" s="76"/>
      <c r="U1068" s="76"/>
      <c r="V1068" s="76"/>
      <c r="W1068" s="76"/>
      <c r="X1068" s="76"/>
      <c r="Y1068" s="76"/>
      <c r="Z1068" s="77"/>
      <c r="AA1068" s="77"/>
      <c r="AB1068" s="77"/>
      <c r="AC1068" s="77"/>
      <c r="AD1068" s="77"/>
      <c r="AE1068" s="77"/>
      <c r="AF1068" s="77"/>
      <c r="AG1068" s="77"/>
      <c r="AH1068" s="78"/>
      <c r="AI1068" s="78"/>
      <c r="AJ1068" s="78"/>
      <c r="AK1068" s="78"/>
      <c r="AL1068" s="78"/>
      <c r="AM1068" s="78"/>
      <c r="AN1068" s="76"/>
      <c r="AO1068" s="76"/>
      <c r="AP1068" s="76"/>
      <c r="AQ1068" s="76"/>
      <c r="AR1068" s="76"/>
      <c r="AS1068" s="76"/>
      <c r="AT1068" s="76"/>
      <c r="AU1068" s="76"/>
      <c r="AV1068" s="76"/>
      <c r="AW1068" s="79"/>
      <c r="AX1068" s="79"/>
      <c r="AY1068" s="79"/>
      <c r="AZ1068" s="79"/>
      <c r="BA1068" s="79"/>
      <c r="BB1068" s="11"/>
      <c r="BC1068" s="11"/>
      <c r="BD1068" s="11"/>
      <c r="BE1068" s="73"/>
      <c r="BF1068" s="73"/>
      <c r="BG1068" s="73"/>
      <c r="BH1068" s="77"/>
      <c r="BI1068" s="77"/>
      <c r="BJ1068" s="77"/>
      <c r="BK1068" s="77"/>
      <c r="BL1068" s="77"/>
      <c r="BM1068" s="77"/>
      <c r="BN1068" s="158"/>
      <c r="BO1068" s="158"/>
    </row>
    <row r="1069" spans="1:67" ht="15" x14ac:dyDescent="0.25">
      <c r="A1069" s="71"/>
      <c r="B1069" s="11"/>
      <c r="C1069" s="11"/>
      <c r="D1069" s="11"/>
      <c r="E1069" s="11"/>
      <c r="F1069" s="11"/>
      <c r="G1069" s="11"/>
      <c r="H1069" s="11"/>
      <c r="I1069" s="11"/>
      <c r="J1069" s="249"/>
      <c r="K1069" s="73"/>
      <c r="L1069" s="75"/>
      <c r="M1069" s="73"/>
      <c r="N1069" s="74"/>
      <c r="O1069" s="75"/>
      <c r="P1069" s="73"/>
      <c r="Q1069" s="76"/>
      <c r="R1069" s="76"/>
      <c r="S1069" s="76"/>
      <c r="T1069" s="76"/>
      <c r="U1069" s="76"/>
      <c r="V1069" s="76"/>
      <c r="W1069" s="76"/>
      <c r="X1069" s="76"/>
      <c r="Y1069" s="76"/>
      <c r="Z1069" s="77"/>
      <c r="AA1069" s="77"/>
      <c r="AB1069" s="77"/>
      <c r="AC1069" s="77"/>
      <c r="AD1069" s="77"/>
      <c r="AE1069" s="77"/>
      <c r="AF1069" s="77"/>
      <c r="AG1069" s="77"/>
      <c r="AH1069" s="78"/>
      <c r="AI1069" s="78"/>
      <c r="AJ1069" s="78"/>
      <c r="AK1069" s="78"/>
      <c r="AL1069" s="78"/>
      <c r="AM1069" s="78"/>
      <c r="AN1069" s="76"/>
      <c r="AO1069" s="76"/>
      <c r="AP1069" s="76"/>
      <c r="AQ1069" s="76"/>
      <c r="AR1069" s="76"/>
      <c r="AS1069" s="76"/>
      <c r="AT1069" s="76"/>
      <c r="AU1069" s="76"/>
      <c r="AV1069" s="76"/>
      <c r="AW1069" s="79"/>
      <c r="AX1069" s="79"/>
      <c r="AY1069" s="79"/>
      <c r="AZ1069" s="79"/>
      <c r="BA1069" s="79"/>
      <c r="BB1069" s="11"/>
      <c r="BC1069" s="11"/>
      <c r="BD1069" s="11"/>
      <c r="BE1069" s="73"/>
      <c r="BF1069" s="73"/>
      <c r="BG1069" s="73"/>
      <c r="BH1069" s="77"/>
      <c r="BI1069" s="77"/>
      <c r="BJ1069" s="77"/>
      <c r="BK1069" s="77"/>
      <c r="BL1069" s="77"/>
      <c r="BM1069" s="77"/>
      <c r="BN1069" s="158"/>
      <c r="BO1069" s="158"/>
    </row>
    <row r="1070" spans="1:67" ht="15" x14ac:dyDescent="0.25">
      <c r="A1070" s="71"/>
      <c r="B1070" s="11"/>
      <c r="C1070" s="11"/>
      <c r="D1070" s="11"/>
      <c r="E1070" s="11"/>
      <c r="F1070" s="11"/>
      <c r="G1070" s="11"/>
      <c r="H1070" s="11"/>
      <c r="I1070" s="11"/>
      <c r="J1070" s="249"/>
      <c r="K1070" s="73"/>
      <c r="L1070" s="75"/>
      <c r="M1070" s="73"/>
      <c r="N1070" s="74"/>
      <c r="O1070" s="75"/>
      <c r="P1070" s="73"/>
      <c r="Q1070" s="76"/>
      <c r="R1070" s="76"/>
      <c r="S1070" s="76"/>
      <c r="T1070" s="76"/>
      <c r="U1070" s="76"/>
      <c r="V1070" s="76"/>
      <c r="W1070" s="76"/>
      <c r="X1070" s="76"/>
      <c r="Y1070" s="76"/>
      <c r="Z1070" s="77"/>
      <c r="AA1070" s="77"/>
      <c r="AB1070" s="77"/>
      <c r="AC1070" s="77"/>
      <c r="AD1070" s="77"/>
      <c r="AE1070" s="77"/>
      <c r="AF1070" s="77"/>
      <c r="AG1070" s="77"/>
      <c r="AH1070" s="78"/>
      <c r="AI1070" s="78"/>
      <c r="AJ1070" s="78"/>
      <c r="AK1070" s="78"/>
      <c r="AL1070" s="78"/>
      <c r="AM1070" s="78"/>
      <c r="AN1070" s="76"/>
      <c r="AO1070" s="76"/>
      <c r="AP1070" s="76"/>
      <c r="AQ1070" s="76"/>
      <c r="AR1070" s="76"/>
      <c r="AS1070" s="76"/>
      <c r="AT1070" s="76"/>
      <c r="AU1070" s="76"/>
      <c r="AV1070" s="76"/>
      <c r="AW1070" s="79"/>
      <c r="AX1070" s="79"/>
      <c r="AY1070" s="79"/>
      <c r="AZ1070" s="79"/>
      <c r="BA1070" s="79"/>
      <c r="BB1070" s="11"/>
      <c r="BC1070" s="11"/>
      <c r="BD1070" s="11"/>
      <c r="BE1070" s="73"/>
      <c r="BF1070" s="73"/>
      <c r="BG1070" s="73"/>
      <c r="BH1070" s="77"/>
      <c r="BI1070" s="77"/>
      <c r="BJ1070" s="77"/>
      <c r="BK1070" s="77"/>
      <c r="BL1070" s="77"/>
      <c r="BM1070" s="77"/>
      <c r="BN1070" s="158"/>
      <c r="BO1070" s="158"/>
    </row>
    <row r="1071" spans="1:67" ht="15" x14ac:dyDescent="0.25">
      <c r="A1071" s="71"/>
      <c r="B1071" s="11"/>
      <c r="C1071" s="11"/>
      <c r="D1071" s="11"/>
      <c r="E1071" s="11"/>
      <c r="F1071" s="11"/>
      <c r="G1071" s="11"/>
      <c r="H1071" s="11"/>
      <c r="I1071" s="11"/>
      <c r="J1071" s="249"/>
      <c r="K1071" s="73"/>
      <c r="L1071" s="75"/>
      <c r="M1071" s="73"/>
      <c r="N1071" s="74"/>
      <c r="O1071" s="75"/>
      <c r="P1071" s="73"/>
      <c r="Q1071" s="76"/>
      <c r="R1071" s="76"/>
      <c r="S1071" s="76"/>
      <c r="T1071" s="76"/>
      <c r="U1071" s="76"/>
      <c r="V1071" s="76"/>
      <c r="W1071" s="76"/>
      <c r="X1071" s="76"/>
      <c r="Y1071" s="76"/>
      <c r="Z1071" s="77"/>
      <c r="AA1071" s="77"/>
      <c r="AB1071" s="77"/>
      <c r="AC1071" s="77"/>
      <c r="AD1071" s="77"/>
      <c r="AE1071" s="77"/>
      <c r="AF1071" s="77"/>
      <c r="AG1071" s="77"/>
      <c r="AH1071" s="78"/>
      <c r="AI1071" s="78"/>
      <c r="AJ1071" s="78"/>
      <c r="AK1071" s="78"/>
      <c r="AL1071" s="78"/>
      <c r="AM1071" s="78"/>
      <c r="AN1071" s="76"/>
      <c r="AO1071" s="76"/>
      <c r="AP1071" s="76"/>
      <c r="AQ1071" s="76"/>
      <c r="AR1071" s="76"/>
      <c r="AS1071" s="76"/>
      <c r="AT1071" s="76"/>
      <c r="AU1071" s="76"/>
      <c r="AV1071" s="76"/>
      <c r="AW1071" s="79"/>
      <c r="AX1071" s="79"/>
      <c r="AY1071" s="79"/>
      <c r="AZ1071" s="79"/>
      <c r="BA1071" s="79"/>
      <c r="BB1071" s="11"/>
      <c r="BC1071" s="11"/>
      <c r="BD1071" s="11"/>
      <c r="BE1071" s="73"/>
      <c r="BF1071" s="73"/>
      <c r="BG1071" s="73"/>
      <c r="BH1071" s="77"/>
      <c r="BI1071" s="77"/>
      <c r="BJ1071" s="77"/>
      <c r="BK1071" s="77"/>
      <c r="BL1071" s="77"/>
      <c r="BM1071" s="77"/>
      <c r="BN1071" s="158"/>
      <c r="BO1071" s="158"/>
    </row>
    <row r="1072" spans="1:67" ht="15" x14ac:dyDescent="0.25">
      <c r="A1072" s="71"/>
      <c r="B1072" s="11"/>
      <c r="C1072" s="11"/>
      <c r="D1072" s="11"/>
      <c r="E1072" s="11"/>
      <c r="F1072" s="11"/>
      <c r="G1072" s="11"/>
      <c r="H1072" s="11"/>
      <c r="I1072" s="11"/>
      <c r="J1072" s="249"/>
      <c r="K1072" s="73"/>
      <c r="L1072" s="75"/>
      <c r="M1072" s="73"/>
      <c r="N1072" s="74"/>
      <c r="O1072" s="75"/>
      <c r="P1072" s="73"/>
      <c r="Q1072" s="76"/>
      <c r="R1072" s="76"/>
      <c r="S1072" s="76"/>
      <c r="T1072" s="76"/>
      <c r="U1072" s="76"/>
      <c r="V1072" s="76"/>
      <c r="W1072" s="76"/>
      <c r="X1072" s="76"/>
      <c r="Y1072" s="76"/>
      <c r="Z1072" s="77"/>
      <c r="AA1072" s="77"/>
      <c r="AB1072" s="77"/>
      <c r="AC1072" s="77"/>
      <c r="AD1072" s="77"/>
      <c r="AE1072" s="77"/>
      <c r="AF1072" s="77"/>
      <c r="AG1072" s="77"/>
      <c r="AH1072" s="78"/>
      <c r="AI1072" s="78"/>
      <c r="AJ1072" s="78"/>
      <c r="AK1072" s="78"/>
      <c r="AL1072" s="78"/>
      <c r="AM1072" s="78"/>
      <c r="AN1072" s="76"/>
      <c r="AO1072" s="76"/>
      <c r="AP1072" s="76"/>
      <c r="AQ1072" s="76"/>
      <c r="AR1072" s="76"/>
      <c r="AS1072" s="76"/>
      <c r="AT1072" s="76"/>
      <c r="AU1072" s="76"/>
      <c r="AV1072" s="76"/>
      <c r="AW1072" s="79"/>
      <c r="AX1072" s="79"/>
      <c r="AY1072" s="79"/>
      <c r="AZ1072" s="79"/>
      <c r="BA1072" s="79"/>
      <c r="BB1072" s="11"/>
      <c r="BC1072" s="11"/>
      <c r="BD1072" s="11"/>
      <c r="BE1072" s="73"/>
      <c r="BF1072" s="73"/>
      <c r="BG1072" s="73"/>
      <c r="BH1072" s="77"/>
      <c r="BI1072" s="77"/>
      <c r="BJ1072" s="77"/>
      <c r="BK1072" s="77"/>
      <c r="BL1072" s="77"/>
      <c r="BM1072" s="77"/>
      <c r="BN1072" s="158"/>
      <c r="BO1072" s="158"/>
    </row>
    <row r="1073" spans="1:67" ht="15" x14ac:dyDescent="0.25">
      <c r="A1073" s="71"/>
      <c r="B1073" s="11"/>
      <c r="C1073" s="11"/>
      <c r="D1073" s="11"/>
      <c r="E1073" s="11"/>
      <c r="F1073" s="11"/>
      <c r="G1073" s="11"/>
      <c r="H1073" s="11"/>
      <c r="I1073" s="11"/>
      <c r="J1073" s="249"/>
      <c r="K1073" s="73"/>
      <c r="L1073" s="75"/>
      <c r="M1073" s="73"/>
      <c r="N1073" s="74"/>
      <c r="O1073" s="75"/>
      <c r="P1073" s="73"/>
      <c r="Q1073" s="76"/>
      <c r="R1073" s="76"/>
      <c r="S1073" s="76"/>
      <c r="T1073" s="76"/>
      <c r="U1073" s="76"/>
      <c r="V1073" s="76"/>
      <c r="W1073" s="76"/>
      <c r="X1073" s="76"/>
      <c r="Y1073" s="76"/>
      <c r="Z1073" s="77"/>
      <c r="AA1073" s="77"/>
      <c r="AB1073" s="77"/>
      <c r="AC1073" s="77"/>
      <c r="AD1073" s="77"/>
      <c r="AE1073" s="77"/>
      <c r="AF1073" s="77"/>
      <c r="AG1073" s="77"/>
      <c r="AH1073" s="78"/>
      <c r="AI1073" s="78"/>
      <c r="AJ1073" s="78"/>
      <c r="AK1073" s="78"/>
      <c r="AL1073" s="78"/>
      <c r="AM1073" s="78"/>
      <c r="AN1073" s="76"/>
      <c r="AO1073" s="76"/>
      <c r="AP1073" s="76"/>
      <c r="AQ1073" s="76"/>
      <c r="AR1073" s="76"/>
      <c r="AS1073" s="76"/>
      <c r="AT1073" s="76"/>
      <c r="AU1073" s="76"/>
      <c r="AV1073" s="76"/>
      <c r="AW1073" s="79"/>
      <c r="AX1073" s="79"/>
      <c r="AY1073" s="79"/>
      <c r="AZ1073" s="79"/>
      <c r="BA1073" s="79"/>
      <c r="BB1073" s="11"/>
      <c r="BC1073" s="11"/>
      <c r="BD1073" s="11"/>
      <c r="BE1073" s="73"/>
      <c r="BF1073" s="73"/>
      <c r="BG1073" s="73"/>
      <c r="BH1073" s="77"/>
      <c r="BI1073" s="77"/>
      <c r="BJ1073" s="77"/>
      <c r="BK1073" s="77"/>
      <c r="BL1073" s="77"/>
      <c r="BM1073" s="77"/>
      <c r="BN1073" s="158"/>
      <c r="BO1073" s="158"/>
    </row>
    <row r="1074" spans="1:67" ht="15" x14ac:dyDescent="0.25">
      <c r="A1074" s="71"/>
      <c r="B1074" s="11"/>
      <c r="C1074" s="11"/>
      <c r="D1074" s="11"/>
      <c r="E1074" s="11"/>
      <c r="F1074" s="11"/>
      <c r="G1074" s="11"/>
      <c r="H1074" s="11"/>
      <c r="I1074" s="11"/>
      <c r="J1074" s="249"/>
      <c r="K1074" s="73"/>
      <c r="L1074" s="75"/>
      <c r="M1074" s="73"/>
      <c r="N1074" s="74"/>
      <c r="O1074" s="75"/>
      <c r="P1074" s="73"/>
      <c r="Q1074" s="76"/>
      <c r="R1074" s="76"/>
      <c r="S1074" s="76"/>
      <c r="T1074" s="76"/>
      <c r="U1074" s="76"/>
      <c r="V1074" s="76"/>
      <c r="W1074" s="76"/>
      <c r="X1074" s="76"/>
      <c r="Y1074" s="76"/>
      <c r="Z1074" s="77"/>
      <c r="AA1074" s="77"/>
      <c r="AB1074" s="77"/>
      <c r="AC1074" s="77"/>
      <c r="AD1074" s="77"/>
      <c r="AE1074" s="77"/>
      <c r="AF1074" s="77"/>
      <c r="AG1074" s="77"/>
      <c r="AH1074" s="78"/>
      <c r="AI1074" s="78"/>
      <c r="AJ1074" s="78"/>
      <c r="AK1074" s="78"/>
      <c r="AL1074" s="78"/>
      <c r="AM1074" s="78"/>
      <c r="AN1074" s="76"/>
      <c r="AO1074" s="76"/>
      <c r="AP1074" s="76"/>
      <c r="AQ1074" s="76"/>
      <c r="AR1074" s="76"/>
      <c r="AS1074" s="76"/>
      <c r="AT1074" s="76"/>
      <c r="AU1074" s="76"/>
      <c r="AV1074" s="76"/>
      <c r="AW1074" s="79"/>
      <c r="AX1074" s="79"/>
      <c r="AY1074" s="79"/>
      <c r="AZ1074" s="79"/>
      <c r="BA1074" s="79"/>
      <c r="BB1074" s="11"/>
      <c r="BC1074" s="11"/>
      <c r="BD1074" s="11"/>
      <c r="BE1074" s="73"/>
      <c r="BF1074" s="73"/>
      <c r="BG1074" s="73"/>
      <c r="BH1074" s="77"/>
      <c r="BI1074" s="77"/>
      <c r="BJ1074" s="77"/>
      <c r="BK1074" s="77"/>
      <c r="BL1074" s="77"/>
      <c r="BM1074" s="77"/>
      <c r="BN1074" s="158"/>
      <c r="BO1074" s="158"/>
    </row>
    <row r="1075" spans="1:67" ht="15" x14ac:dyDescent="0.25">
      <c r="A1075" s="71"/>
      <c r="B1075" s="11"/>
      <c r="C1075" s="11"/>
      <c r="D1075" s="11"/>
      <c r="E1075" s="11"/>
      <c r="F1075" s="11"/>
      <c r="G1075" s="11"/>
      <c r="H1075" s="11"/>
      <c r="I1075" s="11"/>
      <c r="J1075" s="249"/>
      <c r="K1075" s="73"/>
      <c r="L1075" s="75"/>
      <c r="M1075" s="73"/>
      <c r="N1075" s="74"/>
      <c r="O1075" s="75"/>
      <c r="P1075" s="73"/>
      <c r="Q1075" s="76"/>
      <c r="R1075" s="76"/>
      <c r="S1075" s="76"/>
      <c r="T1075" s="76"/>
      <c r="U1075" s="76"/>
      <c r="V1075" s="76"/>
      <c r="W1075" s="76"/>
      <c r="X1075" s="76"/>
      <c r="Y1075" s="76"/>
      <c r="Z1075" s="77"/>
      <c r="AA1075" s="77"/>
      <c r="AB1075" s="77"/>
      <c r="AC1075" s="77"/>
      <c r="AD1075" s="77"/>
      <c r="AE1075" s="77"/>
      <c r="AF1075" s="77"/>
      <c r="AG1075" s="77"/>
      <c r="AH1075" s="78"/>
      <c r="AI1075" s="78"/>
      <c r="AJ1075" s="78"/>
      <c r="AK1075" s="78"/>
      <c r="AL1075" s="78"/>
      <c r="AM1075" s="78"/>
      <c r="AN1075" s="76"/>
      <c r="AO1075" s="76"/>
      <c r="AP1075" s="76"/>
      <c r="AQ1075" s="76"/>
      <c r="AR1075" s="76"/>
      <c r="AS1075" s="76"/>
      <c r="AT1075" s="76"/>
      <c r="AU1075" s="76"/>
      <c r="AV1075" s="76"/>
      <c r="AW1075" s="79"/>
      <c r="AX1075" s="79"/>
      <c r="AY1075" s="79"/>
      <c r="AZ1075" s="79"/>
      <c r="BA1075" s="79"/>
      <c r="BB1075" s="11"/>
      <c r="BC1075" s="11"/>
      <c r="BD1075" s="11"/>
      <c r="BE1075" s="73"/>
      <c r="BF1075" s="73"/>
      <c r="BG1075" s="73"/>
      <c r="BH1075" s="77"/>
      <c r="BI1075" s="77"/>
      <c r="BJ1075" s="77"/>
      <c r="BK1075" s="77"/>
      <c r="BL1075" s="77"/>
      <c r="BM1075" s="77"/>
      <c r="BN1075" s="158"/>
      <c r="BO1075" s="158"/>
    </row>
    <row r="1076" spans="1:67" ht="15" x14ac:dyDescent="0.25">
      <c r="A1076" s="71"/>
      <c r="B1076" s="11"/>
      <c r="C1076" s="11"/>
      <c r="D1076" s="11"/>
      <c r="E1076" s="11"/>
      <c r="F1076" s="11"/>
      <c r="G1076" s="11"/>
      <c r="H1076" s="11"/>
      <c r="I1076" s="11"/>
      <c r="J1076" s="249"/>
      <c r="K1076" s="73"/>
      <c r="L1076" s="75"/>
      <c r="M1076" s="73"/>
      <c r="N1076" s="74"/>
      <c r="O1076" s="75"/>
      <c r="P1076" s="73"/>
      <c r="Q1076" s="76"/>
      <c r="R1076" s="76"/>
      <c r="S1076" s="76"/>
      <c r="T1076" s="76"/>
      <c r="U1076" s="76"/>
      <c r="V1076" s="76"/>
      <c r="W1076" s="76"/>
      <c r="X1076" s="76"/>
      <c r="Y1076" s="76"/>
      <c r="Z1076" s="77"/>
      <c r="AA1076" s="77"/>
      <c r="AB1076" s="77"/>
      <c r="AC1076" s="77"/>
      <c r="AD1076" s="77"/>
      <c r="AE1076" s="77"/>
      <c r="AF1076" s="77"/>
      <c r="AG1076" s="77"/>
      <c r="AH1076" s="78"/>
      <c r="AI1076" s="78"/>
      <c r="AJ1076" s="78"/>
      <c r="AK1076" s="78"/>
      <c r="AL1076" s="78"/>
      <c r="AM1076" s="78"/>
      <c r="AN1076" s="76"/>
      <c r="AO1076" s="76"/>
      <c r="AP1076" s="76"/>
      <c r="AQ1076" s="76"/>
      <c r="AR1076" s="76"/>
      <c r="AS1076" s="76"/>
      <c r="AT1076" s="76"/>
      <c r="AU1076" s="76"/>
      <c r="AV1076" s="76"/>
      <c r="AW1076" s="79"/>
      <c r="AX1076" s="79"/>
      <c r="AY1076" s="79"/>
      <c r="AZ1076" s="79"/>
      <c r="BA1076" s="79"/>
      <c r="BB1076" s="11"/>
      <c r="BC1076" s="11"/>
      <c r="BD1076" s="11"/>
      <c r="BE1076" s="73"/>
      <c r="BF1076" s="73"/>
      <c r="BG1076" s="73"/>
      <c r="BH1076" s="77"/>
      <c r="BI1076" s="77"/>
      <c r="BJ1076" s="77"/>
      <c r="BK1076" s="77"/>
      <c r="BL1076" s="77"/>
      <c r="BM1076" s="77"/>
      <c r="BN1076" s="158"/>
      <c r="BO1076" s="158"/>
    </row>
    <row r="1077" spans="1:67" ht="15" x14ac:dyDescent="0.25">
      <c r="A1077" s="71"/>
      <c r="B1077" s="11"/>
      <c r="C1077" s="11"/>
      <c r="D1077" s="11"/>
      <c r="E1077" s="11"/>
      <c r="F1077" s="11"/>
      <c r="G1077" s="11"/>
      <c r="H1077" s="11"/>
      <c r="I1077" s="11"/>
      <c r="J1077" s="249"/>
      <c r="K1077" s="73"/>
      <c r="L1077" s="75"/>
      <c r="M1077" s="73"/>
      <c r="N1077" s="74"/>
      <c r="O1077" s="75"/>
      <c r="P1077" s="73"/>
      <c r="Q1077" s="76"/>
      <c r="R1077" s="76"/>
      <c r="S1077" s="76"/>
      <c r="T1077" s="76"/>
      <c r="U1077" s="76"/>
      <c r="V1077" s="76"/>
      <c r="W1077" s="76"/>
      <c r="X1077" s="76"/>
      <c r="Y1077" s="76"/>
      <c r="Z1077" s="77"/>
      <c r="AA1077" s="77"/>
      <c r="AB1077" s="77"/>
      <c r="AC1077" s="77"/>
      <c r="AD1077" s="77"/>
      <c r="AE1077" s="77"/>
      <c r="AF1077" s="77"/>
      <c r="AG1077" s="77"/>
      <c r="AH1077" s="78"/>
      <c r="AI1077" s="78"/>
      <c r="AJ1077" s="78"/>
      <c r="AK1077" s="78"/>
      <c r="AL1077" s="78"/>
      <c r="AM1077" s="78"/>
      <c r="AN1077" s="76"/>
      <c r="AO1077" s="76"/>
      <c r="AP1077" s="76"/>
      <c r="AQ1077" s="76"/>
      <c r="AR1077" s="76"/>
      <c r="AS1077" s="76"/>
      <c r="AT1077" s="76"/>
      <c r="AU1077" s="76"/>
      <c r="AV1077" s="76"/>
      <c r="AW1077" s="79"/>
      <c r="AX1077" s="79"/>
      <c r="AY1077" s="79"/>
      <c r="AZ1077" s="79"/>
      <c r="BA1077" s="79"/>
      <c r="BB1077" s="11"/>
      <c r="BC1077" s="11"/>
      <c r="BD1077" s="11"/>
      <c r="BE1077" s="73"/>
      <c r="BF1077" s="73"/>
      <c r="BG1077" s="73"/>
      <c r="BH1077" s="77"/>
      <c r="BI1077" s="77"/>
      <c r="BJ1077" s="77"/>
      <c r="BK1077" s="77"/>
      <c r="BL1077" s="77"/>
      <c r="BM1077" s="77"/>
      <c r="BN1077" s="158"/>
      <c r="BO1077" s="158"/>
    </row>
    <row r="1078" spans="1:67" ht="15" x14ac:dyDescent="0.25">
      <c r="A1078" s="71"/>
      <c r="B1078" s="11"/>
      <c r="C1078" s="11"/>
      <c r="D1078" s="11"/>
      <c r="E1078" s="11"/>
      <c r="F1078" s="11"/>
      <c r="G1078" s="11"/>
      <c r="H1078" s="11"/>
      <c r="I1078" s="11"/>
      <c r="J1078" s="249"/>
      <c r="K1078" s="73"/>
      <c r="L1078" s="75"/>
      <c r="M1078" s="73"/>
      <c r="N1078" s="74"/>
      <c r="O1078" s="75"/>
      <c r="P1078" s="73"/>
      <c r="Q1078" s="76"/>
      <c r="R1078" s="76"/>
      <c r="S1078" s="76"/>
      <c r="T1078" s="76"/>
      <c r="U1078" s="76"/>
      <c r="V1078" s="76"/>
      <c r="W1078" s="76"/>
      <c r="X1078" s="76"/>
      <c r="Y1078" s="76"/>
      <c r="Z1078" s="77"/>
      <c r="AA1078" s="77"/>
      <c r="AB1078" s="77"/>
      <c r="AC1078" s="77"/>
      <c r="AD1078" s="77"/>
      <c r="AE1078" s="77"/>
      <c r="AF1078" s="77"/>
      <c r="AG1078" s="77"/>
      <c r="AH1078" s="78"/>
      <c r="AI1078" s="78"/>
      <c r="AJ1078" s="78"/>
      <c r="AK1078" s="78"/>
      <c r="AL1078" s="78"/>
      <c r="AM1078" s="78"/>
      <c r="AN1078" s="76"/>
      <c r="AO1078" s="76"/>
      <c r="AP1078" s="76"/>
      <c r="AQ1078" s="76"/>
      <c r="AR1078" s="76"/>
      <c r="AS1078" s="76"/>
      <c r="AT1078" s="76"/>
      <c r="AU1078" s="76"/>
      <c r="AV1078" s="76"/>
      <c r="AW1078" s="79"/>
      <c r="AX1078" s="79"/>
      <c r="AY1078" s="79"/>
      <c r="AZ1078" s="79"/>
      <c r="BA1078" s="79"/>
      <c r="BB1078" s="11"/>
      <c r="BC1078" s="11"/>
      <c r="BD1078" s="11"/>
      <c r="BE1078" s="73"/>
      <c r="BF1078" s="73"/>
      <c r="BG1078" s="73"/>
      <c r="BH1078" s="77"/>
      <c r="BI1078" s="77"/>
      <c r="BJ1078" s="77"/>
      <c r="BK1078" s="77"/>
      <c r="BL1078" s="77"/>
      <c r="BM1078" s="77"/>
      <c r="BN1078" s="158"/>
      <c r="BO1078" s="158"/>
    </row>
    <row r="1079" spans="1:67" ht="15" x14ac:dyDescent="0.25">
      <c r="A1079" s="71"/>
      <c r="B1079" s="11"/>
      <c r="C1079" s="11"/>
      <c r="D1079" s="11"/>
      <c r="E1079" s="11"/>
      <c r="F1079" s="11"/>
      <c r="G1079" s="11"/>
      <c r="H1079" s="11"/>
      <c r="I1079" s="11"/>
      <c r="J1079" s="249"/>
      <c r="K1079" s="73"/>
      <c r="L1079" s="75"/>
      <c r="M1079" s="73"/>
      <c r="N1079" s="74"/>
      <c r="O1079" s="75"/>
      <c r="P1079" s="73"/>
      <c r="Q1079" s="76"/>
      <c r="R1079" s="76"/>
      <c r="S1079" s="76"/>
      <c r="T1079" s="76"/>
      <c r="U1079" s="76"/>
      <c r="V1079" s="76"/>
      <c r="W1079" s="76"/>
      <c r="X1079" s="76"/>
      <c r="Y1079" s="76"/>
      <c r="Z1079" s="77"/>
      <c r="AA1079" s="77"/>
      <c r="AB1079" s="77"/>
      <c r="AC1079" s="77"/>
      <c r="AD1079" s="77"/>
      <c r="AE1079" s="77"/>
      <c r="AF1079" s="77"/>
      <c r="AG1079" s="77"/>
      <c r="AH1079" s="78"/>
      <c r="AI1079" s="78"/>
      <c r="AJ1079" s="78"/>
      <c r="AK1079" s="78"/>
      <c r="AL1079" s="78"/>
      <c r="AM1079" s="78"/>
      <c r="AN1079" s="76"/>
      <c r="AO1079" s="76"/>
      <c r="AP1079" s="76"/>
      <c r="AQ1079" s="76"/>
      <c r="AR1079" s="76"/>
      <c r="AS1079" s="76"/>
      <c r="AT1079" s="76"/>
      <c r="AU1079" s="76"/>
      <c r="AV1079" s="76"/>
      <c r="AW1079" s="79"/>
      <c r="AX1079" s="79"/>
      <c r="AY1079" s="79"/>
      <c r="AZ1079" s="79"/>
      <c r="BA1079" s="79"/>
      <c r="BB1079" s="11"/>
      <c r="BC1079" s="11"/>
      <c r="BD1079" s="11"/>
      <c r="BE1079" s="73"/>
      <c r="BF1079" s="73"/>
      <c r="BG1079" s="73"/>
      <c r="BH1079" s="77"/>
      <c r="BI1079" s="77"/>
      <c r="BJ1079" s="77"/>
      <c r="BK1079" s="77"/>
      <c r="BL1079" s="77"/>
      <c r="BM1079" s="77"/>
      <c r="BN1079" s="158"/>
      <c r="BO1079" s="158"/>
    </row>
    <row r="1080" spans="1:67" ht="15" x14ac:dyDescent="0.25">
      <c r="A1080" s="71"/>
      <c r="B1080" s="11"/>
      <c r="C1080" s="11"/>
      <c r="D1080" s="11"/>
      <c r="E1080" s="11"/>
      <c r="F1080" s="11"/>
      <c r="G1080" s="11"/>
      <c r="H1080" s="11"/>
      <c r="I1080" s="11"/>
      <c r="J1080" s="249"/>
      <c r="K1080" s="73"/>
      <c r="L1080" s="75"/>
      <c r="M1080" s="73"/>
      <c r="N1080" s="74"/>
      <c r="O1080" s="75"/>
      <c r="P1080" s="73"/>
      <c r="Q1080" s="76"/>
      <c r="R1080" s="76"/>
      <c r="S1080" s="76"/>
      <c r="T1080" s="76"/>
      <c r="U1080" s="76"/>
      <c r="V1080" s="76"/>
      <c r="W1080" s="76"/>
      <c r="X1080" s="76"/>
      <c r="Y1080" s="76"/>
      <c r="Z1080" s="77"/>
      <c r="AA1080" s="77"/>
      <c r="AB1080" s="77"/>
      <c r="AC1080" s="77"/>
      <c r="AD1080" s="77"/>
      <c r="AE1080" s="77"/>
      <c r="AF1080" s="77"/>
      <c r="AG1080" s="77"/>
      <c r="AH1080" s="78"/>
      <c r="AI1080" s="78"/>
      <c r="AJ1080" s="78"/>
      <c r="AK1080" s="78"/>
      <c r="AL1080" s="78"/>
      <c r="AM1080" s="78"/>
      <c r="AN1080" s="76"/>
      <c r="AO1080" s="76"/>
      <c r="AP1080" s="76"/>
      <c r="AQ1080" s="76"/>
      <c r="AR1080" s="76"/>
      <c r="AS1080" s="76"/>
      <c r="AT1080" s="76"/>
      <c r="AU1080" s="76"/>
      <c r="AV1080" s="76"/>
      <c r="AW1080" s="79"/>
      <c r="AX1080" s="79"/>
      <c r="AY1080" s="79"/>
      <c r="AZ1080" s="79"/>
      <c r="BA1080" s="79"/>
      <c r="BB1080" s="11"/>
      <c r="BC1080" s="11"/>
      <c r="BD1080" s="11"/>
      <c r="BE1080" s="73"/>
      <c r="BF1080" s="73"/>
      <c r="BG1080" s="73"/>
      <c r="BH1080" s="77"/>
      <c r="BI1080" s="77"/>
      <c r="BJ1080" s="77"/>
      <c r="BK1080" s="77"/>
      <c r="BL1080" s="77"/>
      <c r="BM1080" s="77"/>
      <c r="BN1080" s="158"/>
      <c r="BO1080" s="158"/>
    </row>
    <row r="1081" spans="1:67" ht="15" x14ac:dyDescent="0.25">
      <c r="A1081" s="71"/>
      <c r="B1081" s="11"/>
      <c r="C1081" s="11"/>
      <c r="D1081" s="11"/>
      <c r="E1081" s="11"/>
      <c r="F1081" s="11"/>
      <c r="G1081" s="11"/>
      <c r="H1081" s="11"/>
      <c r="I1081" s="11"/>
      <c r="J1081" s="249"/>
      <c r="K1081" s="73"/>
      <c r="L1081" s="75"/>
      <c r="M1081" s="73"/>
      <c r="N1081" s="74"/>
      <c r="O1081" s="75"/>
      <c r="P1081" s="73"/>
      <c r="Q1081" s="76"/>
      <c r="R1081" s="76"/>
      <c r="S1081" s="76"/>
      <c r="T1081" s="76"/>
      <c r="U1081" s="76"/>
      <c r="V1081" s="76"/>
      <c r="W1081" s="76"/>
      <c r="X1081" s="76"/>
      <c r="Y1081" s="76"/>
      <c r="Z1081" s="77"/>
      <c r="AA1081" s="77"/>
      <c r="AB1081" s="77"/>
      <c r="AC1081" s="77"/>
      <c r="AD1081" s="77"/>
      <c r="AE1081" s="77"/>
      <c r="AF1081" s="77"/>
      <c r="AG1081" s="77"/>
      <c r="AH1081" s="78"/>
      <c r="AI1081" s="78"/>
      <c r="AJ1081" s="78"/>
      <c r="AK1081" s="78"/>
      <c r="AL1081" s="78"/>
      <c r="AM1081" s="78"/>
      <c r="AN1081" s="76"/>
      <c r="AO1081" s="76"/>
      <c r="AP1081" s="76"/>
      <c r="AQ1081" s="76"/>
      <c r="AR1081" s="76"/>
      <c r="AS1081" s="76"/>
      <c r="AT1081" s="76"/>
      <c r="AU1081" s="76"/>
      <c r="AV1081" s="76"/>
      <c r="AW1081" s="79"/>
      <c r="AX1081" s="79"/>
      <c r="AY1081" s="79"/>
      <c r="AZ1081" s="79"/>
      <c r="BA1081" s="79"/>
      <c r="BB1081" s="11"/>
      <c r="BC1081" s="11"/>
      <c r="BD1081" s="11"/>
      <c r="BE1081" s="73"/>
      <c r="BF1081" s="73"/>
      <c r="BG1081" s="73"/>
      <c r="BH1081" s="77"/>
      <c r="BI1081" s="77"/>
      <c r="BJ1081" s="77"/>
      <c r="BK1081" s="77"/>
      <c r="BL1081" s="77"/>
      <c r="BM1081" s="77"/>
      <c r="BN1081" s="158"/>
      <c r="BO1081" s="158"/>
    </row>
    <row r="1082" spans="1:67" ht="15" x14ac:dyDescent="0.25">
      <c r="A1082" s="71"/>
      <c r="B1082" s="11"/>
      <c r="C1082" s="11"/>
      <c r="D1082" s="11"/>
      <c r="E1082" s="11"/>
      <c r="F1082" s="11"/>
      <c r="G1082" s="11"/>
      <c r="H1082" s="11"/>
      <c r="I1082" s="11"/>
      <c r="J1082" s="249"/>
      <c r="K1082" s="73"/>
      <c r="L1082" s="75"/>
      <c r="M1082" s="73"/>
      <c r="N1082" s="74"/>
      <c r="O1082" s="75"/>
      <c r="P1082" s="73"/>
      <c r="Q1082" s="76"/>
      <c r="R1082" s="76"/>
      <c r="S1082" s="76"/>
      <c r="T1082" s="76"/>
      <c r="U1082" s="76"/>
      <c r="V1082" s="76"/>
      <c r="W1082" s="76"/>
      <c r="X1082" s="76"/>
      <c r="Y1082" s="76"/>
      <c r="Z1082" s="77"/>
      <c r="AA1082" s="77"/>
      <c r="AB1082" s="77"/>
      <c r="AC1082" s="77"/>
      <c r="AD1082" s="77"/>
      <c r="AE1082" s="77"/>
      <c r="AF1082" s="77"/>
      <c r="AG1082" s="77"/>
      <c r="AH1082" s="78"/>
      <c r="AI1082" s="78"/>
      <c r="AJ1082" s="78"/>
      <c r="AK1082" s="78"/>
      <c r="AL1082" s="78"/>
      <c r="AM1082" s="78"/>
      <c r="AN1082" s="76"/>
      <c r="AO1082" s="76"/>
      <c r="AP1082" s="76"/>
      <c r="AQ1082" s="76"/>
      <c r="AR1082" s="76"/>
      <c r="AS1082" s="76"/>
      <c r="AT1082" s="76"/>
      <c r="AU1082" s="76"/>
      <c r="AV1082" s="76"/>
      <c r="AW1082" s="79"/>
      <c r="AX1082" s="79"/>
      <c r="AY1082" s="79"/>
      <c r="AZ1082" s="79"/>
      <c r="BA1082" s="79"/>
      <c r="BB1082" s="11"/>
      <c r="BC1082" s="11"/>
      <c r="BD1082" s="11"/>
      <c r="BE1082" s="73"/>
      <c r="BF1082" s="73"/>
      <c r="BG1082" s="73"/>
      <c r="BH1082" s="77"/>
      <c r="BI1082" s="77"/>
      <c r="BJ1082" s="77"/>
      <c r="BK1082" s="77"/>
      <c r="BL1082" s="77"/>
      <c r="BM1082" s="77"/>
      <c r="BN1082" s="158"/>
      <c r="BO1082" s="158"/>
    </row>
    <row r="1083" spans="1:67" ht="15" x14ac:dyDescent="0.25">
      <c r="A1083" s="71"/>
      <c r="B1083" s="11"/>
      <c r="C1083" s="11"/>
      <c r="D1083" s="11"/>
      <c r="E1083" s="11"/>
      <c r="F1083" s="11"/>
      <c r="G1083" s="11"/>
      <c r="H1083" s="11"/>
      <c r="I1083" s="11"/>
      <c r="J1083" s="249"/>
      <c r="K1083" s="73"/>
      <c r="L1083" s="75"/>
      <c r="M1083" s="73"/>
      <c r="N1083" s="74"/>
      <c r="O1083" s="75"/>
      <c r="P1083" s="73"/>
      <c r="Q1083" s="76"/>
      <c r="R1083" s="76"/>
      <c r="S1083" s="76"/>
      <c r="T1083" s="76"/>
      <c r="U1083" s="76"/>
      <c r="V1083" s="76"/>
      <c r="W1083" s="76"/>
      <c r="X1083" s="76"/>
      <c r="Y1083" s="76"/>
      <c r="Z1083" s="77"/>
      <c r="AA1083" s="77"/>
      <c r="AB1083" s="77"/>
      <c r="AC1083" s="77"/>
      <c r="AD1083" s="77"/>
      <c r="AE1083" s="77"/>
      <c r="AF1083" s="77"/>
      <c r="AG1083" s="77"/>
      <c r="AH1083" s="78"/>
      <c r="AI1083" s="78"/>
      <c r="AJ1083" s="78"/>
      <c r="AK1083" s="78"/>
      <c r="AL1083" s="78"/>
      <c r="AM1083" s="78"/>
      <c r="AN1083" s="76"/>
      <c r="AO1083" s="76"/>
      <c r="AP1083" s="76"/>
      <c r="AQ1083" s="76"/>
      <c r="AR1083" s="76"/>
      <c r="AS1083" s="76"/>
      <c r="AT1083" s="76"/>
      <c r="AU1083" s="76"/>
      <c r="AV1083" s="76"/>
      <c r="AW1083" s="79"/>
      <c r="AX1083" s="79"/>
      <c r="AY1083" s="79"/>
      <c r="AZ1083" s="79"/>
      <c r="BA1083" s="79"/>
      <c r="BB1083" s="11"/>
      <c r="BC1083" s="11"/>
      <c r="BD1083" s="11"/>
      <c r="BE1083" s="73"/>
      <c r="BF1083" s="73"/>
      <c r="BG1083" s="73"/>
      <c r="BH1083" s="77"/>
      <c r="BI1083" s="77"/>
      <c r="BJ1083" s="77"/>
      <c r="BK1083" s="77"/>
      <c r="BL1083" s="77"/>
      <c r="BM1083" s="77"/>
      <c r="BN1083" s="158"/>
      <c r="BO1083" s="158"/>
    </row>
    <row r="1084" spans="1:67" ht="15" x14ac:dyDescent="0.25">
      <c r="A1084" s="71"/>
      <c r="B1084" s="11"/>
      <c r="C1084" s="11"/>
      <c r="D1084" s="11"/>
      <c r="E1084" s="11"/>
      <c r="F1084" s="11"/>
      <c r="G1084" s="11"/>
      <c r="H1084" s="11"/>
      <c r="I1084" s="11"/>
      <c r="J1084" s="249"/>
      <c r="K1084" s="73"/>
      <c r="L1084" s="75"/>
      <c r="M1084" s="73"/>
      <c r="N1084" s="74"/>
      <c r="O1084" s="75"/>
      <c r="P1084" s="73"/>
      <c r="Q1084" s="76"/>
      <c r="R1084" s="76"/>
      <c r="S1084" s="76"/>
      <c r="T1084" s="76"/>
      <c r="U1084" s="76"/>
      <c r="V1084" s="76"/>
      <c r="W1084" s="76"/>
      <c r="X1084" s="76"/>
      <c r="Y1084" s="76"/>
      <c r="Z1084" s="77"/>
      <c r="AA1084" s="77"/>
      <c r="AB1084" s="77"/>
      <c r="AC1084" s="77"/>
      <c r="AD1084" s="77"/>
      <c r="AE1084" s="77"/>
      <c r="AF1084" s="77"/>
      <c r="AG1084" s="77"/>
      <c r="AH1084" s="78"/>
      <c r="AI1084" s="78"/>
      <c r="AJ1084" s="78"/>
      <c r="AK1084" s="78"/>
      <c r="AL1084" s="78"/>
      <c r="AM1084" s="78"/>
      <c r="AN1084" s="76"/>
      <c r="AO1084" s="76"/>
      <c r="AP1084" s="76"/>
      <c r="AQ1084" s="76"/>
      <c r="AR1084" s="76"/>
      <c r="AS1084" s="76"/>
      <c r="AT1084" s="76"/>
      <c r="AU1084" s="76"/>
      <c r="AV1084" s="76"/>
      <c r="AW1084" s="79"/>
      <c r="AX1084" s="79"/>
      <c r="AY1084" s="79"/>
      <c r="AZ1084" s="79"/>
      <c r="BA1084" s="79"/>
      <c r="BB1084" s="11"/>
      <c r="BC1084" s="11"/>
      <c r="BD1084" s="11"/>
      <c r="BE1084" s="73"/>
      <c r="BF1084" s="73"/>
      <c r="BG1084" s="73"/>
      <c r="BH1084" s="77"/>
      <c r="BI1084" s="77"/>
      <c r="BJ1084" s="77"/>
      <c r="BK1084" s="77"/>
      <c r="BL1084" s="77"/>
      <c r="BM1084" s="77"/>
      <c r="BN1084" s="158"/>
      <c r="BO1084" s="158"/>
    </row>
    <row r="1085" spans="1:67" ht="15" x14ac:dyDescent="0.25">
      <c r="A1085" s="71"/>
      <c r="B1085" s="11"/>
      <c r="C1085" s="11"/>
      <c r="D1085" s="11"/>
      <c r="E1085" s="11"/>
      <c r="F1085" s="11"/>
      <c r="G1085" s="11"/>
      <c r="H1085" s="11"/>
      <c r="I1085" s="11"/>
      <c r="J1085" s="249"/>
      <c r="K1085" s="73"/>
      <c r="L1085" s="75"/>
      <c r="M1085" s="73"/>
      <c r="N1085" s="74"/>
      <c r="O1085" s="75"/>
      <c r="P1085" s="73"/>
      <c r="Q1085" s="76"/>
      <c r="R1085" s="76"/>
      <c r="S1085" s="76"/>
      <c r="T1085" s="76"/>
      <c r="U1085" s="76"/>
      <c r="V1085" s="76"/>
      <c r="W1085" s="76"/>
      <c r="X1085" s="76"/>
      <c r="Y1085" s="76"/>
      <c r="Z1085" s="77"/>
      <c r="AA1085" s="77"/>
      <c r="AB1085" s="77"/>
      <c r="AC1085" s="77"/>
      <c r="AD1085" s="77"/>
      <c r="AE1085" s="77"/>
      <c r="AF1085" s="77"/>
      <c r="AG1085" s="77"/>
      <c r="AH1085" s="78"/>
      <c r="AI1085" s="78"/>
      <c r="AJ1085" s="78"/>
      <c r="AK1085" s="78"/>
      <c r="AL1085" s="78"/>
      <c r="AM1085" s="78"/>
      <c r="AN1085" s="76"/>
      <c r="AO1085" s="76"/>
      <c r="AP1085" s="76"/>
      <c r="AQ1085" s="76"/>
      <c r="AR1085" s="76"/>
      <c r="AS1085" s="76"/>
      <c r="AT1085" s="76"/>
      <c r="AU1085" s="76"/>
      <c r="AV1085" s="76"/>
      <c r="AW1085" s="79"/>
      <c r="AX1085" s="79"/>
      <c r="AY1085" s="79"/>
      <c r="AZ1085" s="79"/>
      <c r="BA1085" s="79"/>
      <c r="BB1085" s="11"/>
      <c r="BC1085" s="11"/>
      <c r="BD1085" s="11"/>
      <c r="BE1085" s="73"/>
      <c r="BF1085" s="73"/>
      <c r="BG1085" s="73"/>
      <c r="BH1085" s="77"/>
      <c r="BI1085" s="77"/>
      <c r="BJ1085" s="77"/>
      <c r="BK1085" s="77"/>
      <c r="BL1085" s="77"/>
      <c r="BM1085" s="77"/>
      <c r="BN1085" s="158"/>
      <c r="BO1085" s="158"/>
    </row>
    <row r="1086" spans="1:67" ht="15" x14ac:dyDescent="0.25">
      <c r="A1086" s="71"/>
      <c r="B1086" s="11"/>
      <c r="C1086" s="11"/>
      <c r="D1086" s="11"/>
      <c r="E1086" s="11"/>
      <c r="F1086" s="11"/>
      <c r="G1086" s="11"/>
      <c r="H1086" s="11"/>
      <c r="I1086" s="11"/>
      <c r="J1086" s="249"/>
      <c r="K1086" s="73"/>
      <c r="L1086" s="75"/>
      <c r="M1086" s="73"/>
      <c r="N1086" s="74"/>
      <c r="O1086" s="75"/>
      <c r="P1086" s="73"/>
      <c r="Q1086" s="76"/>
      <c r="R1086" s="76"/>
      <c r="S1086" s="76"/>
      <c r="T1086" s="76"/>
      <c r="U1086" s="76"/>
      <c r="V1086" s="76"/>
      <c r="W1086" s="76"/>
      <c r="X1086" s="76"/>
      <c r="Y1086" s="76"/>
      <c r="Z1086" s="77"/>
      <c r="AA1086" s="77"/>
      <c r="AB1086" s="77"/>
      <c r="AC1086" s="77"/>
      <c r="AD1086" s="77"/>
      <c r="AE1086" s="77"/>
      <c r="AF1086" s="77"/>
      <c r="AG1086" s="77"/>
      <c r="AH1086" s="78"/>
      <c r="AI1086" s="78"/>
      <c r="AJ1086" s="78"/>
      <c r="AK1086" s="78"/>
      <c r="AL1086" s="78"/>
      <c r="AM1086" s="78"/>
      <c r="AN1086" s="76"/>
      <c r="AO1086" s="76"/>
      <c r="AP1086" s="76"/>
      <c r="AQ1086" s="76"/>
      <c r="AR1086" s="76"/>
      <c r="AS1086" s="76"/>
      <c r="AT1086" s="76"/>
      <c r="AU1086" s="76"/>
      <c r="AV1086" s="76"/>
      <c r="AW1086" s="79"/>
      <c r="AX1086" s="79"/>
      <c r="AY1086" s="79"/>
      <c r="AZ1086" s="79"/>
      <c r="BA1086" s="79"/>
      <c r="BB1086" s="11"/>
      <c r="BC1086" s="11"/>
      <c r="BD1086" s="11"/>
      <c r="BE1086" s="73"/>
      <c r="BF1086" s="73"/>
      <c r="BG1086" s="73"/>
      <c r="BH1086" s="77"/>
      <c r="BI1086" s="77"/>
      <c r="BJ1086" s="77"/>
      <c r="BK1086" s="77"/>
      <c r="BL1086" s="77"/>
      <c r="BM1086" s="77"/>
      <c r="BN1086" s="158"/>
      <c r="BO1086" s="158"/>
    </row>
    <row r="1087" spans="1:67" ht="15" x14ac:dyDescent="0.25">
      <c r="A1087" s="71"/>
      <c r="B1087" s="11"/>
      <c r="C1087" s="11"/>
      <c r="D1087" s="11"/>
      <c r="E1087" s="11"/>
      <c r="F1087" s="11"/>
      <c r="G1087" s="11"/>
      <c r="H1087" s="11"/>
      <c r="I1087" s="11"/>
      <c r="J1087" s="249"/>
      <c r="K1087" s="73"/>
      <c r="L1087" s="75"/>
      <c r="M1087" s="73"/>
      <c r="N1087" s="74"/>
      <c r="O1087" s="75"/>
      <c r="P1087" s="73"/>
      <c r="Q1087" s="76"/>
      <c r="R1087" s="76"/>
      <c r="S1087" s="76"/>
      <c r="T1087" s="76"/>
      <c r="U1087" s="76"/>
      <c r="V1087" s="76"/>
      <c r="W1087" s="76"/>
      <c r="X1087" s="76"/>
      <c r="Y1087" s="76"/>
      <c r="Z1087" s="77"/>
      <c r="AA1087" s="77"/>
      <c r="AB1087" s="77"/>
      <c r="AC1087" s="77"/>
      <c r="AD1087" s="77"/>
      <c r="AE1087" s="77"/>
      <c r="AF1087" s="77"/>
      <c r="AG1087" s="77"/>
      <c r="AH1087" s="78"/>
      <c r="AI1087" s="78"/>
      <c r="AJ1087" s="78"/>
      <c r="AK1087" s="78"/>
      <c r="AL1087" s="78"/>
      <c r="AM1087" s="78"/>
      <c r="AN1087" s="76"/>
      <c r="AO1087" s="76"/>
      <c r="AP1087" s="76"/>
      <c r="AQ1087" s="76"/>
      <c r="AR1087" s="76"/>
      <c r="AS1087" s="76"/>
      <c r="AT1087" s="76"/>
      <c r="AU1087" s="76"/>
      <c r="AV1087" s="76"/>
      <c r="AW1087" s="79"/>
      <c r="AX1087" s="79"/>
      <c r="AY1087" s="79"/>
      <c r="AZ1087" s="79"/>
      <c r="BA1087" s="79"/>
      <c r="BB1087" s="11"/>
      <c r="BC1087" s="11"/>
      <c r="BD1087" s="11"/>
      <c r="BE1087" s="73"/>
      <c r="BF1087" s="73"/>
      <c r="BG1087" s="73"/>
      <c r="BH1087" s="77"/>
      <c r="BI1087" s="77"/>
      <c r="BJ1087" s="77"/>
      <c r="BK1087" s="77"/>
      <c r="BL1087" s="77"/>
      <c r="BM1087" s="77"/>
      <c r="BN1087" s="158"/>
      <c r="BO1087" s="158"/>
    </row>
    <row r="1088" spans="1:67" ht="15" x14ac:dyDescent="0.25">
      <c r="A1088" s="71"/>
      <c r="B1088" s="11"/>
      <c r="C1088" s="11"/>
      <c r="D1088" s="11"/>
      <c r="E1088" s="11"/>
      <c r="F1088" s="11"/>
      <c r="G1088" s="11"/>
      <c r="H1088" s="11"/>
      <c r="I1088" s="11"/>
      <c r="J1088" s="249"/>
      <c r="K1088" s="73"/>
      <c r="L1088" s="75"/>
      <c r="M1088" s="73"/>
      <c r="N1088" s="74"/>
      <c r="O1088" s="75"/>
      <c r="P1088" s="73"/>
      <c r="Q1088" s="76"/>
      <c r="R1088" s="76"/>
      <c r="S1088" s="76"/>
      <c r="T1088" s="76"/>
      <c r="U1088" s="76"/>
      <c r="V1088" s="76"/>
      <c r="W1088" s="76"/>
      <c r="X1088" s="76"/>
      <c r="Y1088" s="76"/>
      <c r="Z1088" s="77"/>
      <c r="AA1088" s="77"/>
      <c r="AB1088" s="77"/>
      <c r="AC1088" s="77"/>
      <c r="AD1088" s="77"/>
      <c r="AE1088" s="77"/>
      <c r="AF1088" s="77"/>
      <c r="AG1088" s="77"/>
      <c r="AH1088" s="78"/>
      <c r="AI1088" s="78"/>
      <c r="AJ1088" s="78"/>
      <c r="AK1088" s="78"/>
      <c r="AL1088" s="78"/>
      <c r="AM1088" s="78"/>
      <c r="AN1088" s="76"/>
      <c r="AO1088" s="76"/>
      <c r="AP1088" s="76"/>
      <c r="AQ1088" s="76"/>
      <c r="AR1088" s="76"/>
      <c r="AS1088" s="76"/>
      <c r="AT1088" s="76"/>
      <c r="AU1088" s="76"/>
      <c r="AV1088" s="76"/>
      <c r="AW1088" s="79"/>
      <c r="AX1088" s="79"/>
      <c r="AY1088" s="79"/>
      <c r="AZ1088" s="79"/>
      <c r="BA1088" s="79"/>
      <c r="BB1088" s="11"/>
      <c r="BC1088" s="11"/>
      <c r="BD1088" s="11"/>
      <c r="BE1088" s="73"/>
      <c r="BF1088" s="73"/>
      <c r="BG1088" s="73"/>
      <c r="BH1088" s="77"/>
      <c r="BI1088" s="77"/>
      <c r="BJ1088" s="77"/>
      <c r="BK1088" s="77"/>
      <c r="BL1088" s="77"/>
      <c r="BM1088" s="77"/>
      <c r="BN1088" s="158"/>
      <c r="BO1088" s="158"/>
    </row>
    <row r="1089" spans="1:67" ht="15" x14ac:dyDescent="0.25">
      <c r="A1089" s="71"/>
      <c r="B1089" s="11"/>
      <c r="C1089" s="11"/>
      <c r="D1089" s="11"/>
      <c r="E1089" s="11"/>
      <c r="F1089" s="11"/>
      <c r="G1089" s="11"/>
      <c r="H1089" s="11"/>
      <c r="I1089" s="11"/>
      <c r="J1089" s="249"/>
      <c r="K1089" s="73"/>
      <c r="L1089" s="75"/>
      <c r="M1089" s="73"/>
      <c r="N1089" s="74"/>
      <c r="O1089" s="75"/>
      <c r="P1089" s="73"/>
      <c r="Q1089" s="76"/>
      <c r="R1089" s="76"/>
      <c r="S1089" s="76"/>
      <c r="T1089" s="76"/>
      <c r="U1089" s="76"/>
      <c r="V1089" s="76"/>
      <c r="W1089" s="76"/>
      <c r="X1089" s="76"/>
      <c r="Y1089" s="76"/>
      <c r="Z1089" s="77"/>
      <c r="AA1089" s="77"/>
      <c r="AB1089" s="77"/>
      <c r="AC1089" s="77"/>
      <c r="AD1089" s="77"/>
      <c r="AE1089" s="77"/>
      <c r="AF1089" s="77"/>
      <c r="AG1089" s="77"/>
      <c r="AH1089" s="78"/>
      <c r="AI1089" s="78"/>
      <c r="AJ1089" s="78"/>
      <c r="AK1089" s="78"/>
      <c r="AL1089" s="78"/>
      <c r="AM1089" s="78"/>
      <c r="AN1089" s="76"/>
      <c r="AO1089" s="76"/>
      <c r="AP1089" s="76"/>
      <c r="AQ1089" s="76"/>
      <c r="AR1089" s="76"/>
      <c r="AS1089" s="76"/>
      <c r="AT1089" s="76"/>
      <c r="AU1089" s="76"/>
      <c r="AV1089" s="76"/>
      <c r="AW1089" s="79"/>
      <c r="AX1089" s="79"/>
      <c r="AY1089" s="79"/>
      <c r="AZ1089" s="79"/>
      <c r="BA1089" s="79"/>
      <c r="BB1089" s="11"/>
      <c r="BC1089" s="11"/>
      <c r="BD1089" s="11"/>
      <c r="BE1089" s="73"/>
      <c r="BF1089" s="73"/>
      <c r="BG1089" s="73"/>
      <c r="BH1089" s="77"/>
      <c r="BI1089" s="77"/>
      <c r="BJ1089" s="77"/>
      <c r="BK1089" s="77"/>
      <c r="BL1089" s="77"/>
      <c r="BM1089" s="77"/>
      <c r="BN1089" s="158"/>
      <c r="BO1089" s="158"/>
    </row>
    <row r="1090" spans="1:67" ht="15" x14ac:dyDescent="0.25">
      <c r="A1090" s="71"/>
      <c r="B1090" s="11"/>
      <c r="C1090" s="11"/>
      <c r="D1090" s="11"/>
      <c r="E1090" s="11"/>
      <c r="F1090" s="11"/>
      <c r="G1090" s="11"/>
      <c r="H1090" s="11"/>
      <c r="I1090" s="11"/>
      <c r="J1090" s="249"/>
      <c r="K1090" s="73"/>
      <c r="L1090" s="75"/>
      <c r="M1090" s="73"/>
      <c r="N1090" s="74"/>
      <c r="O1090" s="75"/>
      <c r="P1090" s="73"/>
      <c r="Q1090" s="76"/>
      <c r="R1090" s="76"/>
      <c r="S1090" s="76"/>
      <c r="T1090" s="76"/>
      <c r="U1090" s="76"/>
      <c r="V1090" s="76"/>
      <c r="W1090" s="76"/>
      <c r="X1090" s="76"/>
      <c r="Y1090" s="76"/>
      <c r="Z1090" s="77"/>
      <c r="AA1090" s="77"/>
      <c r="AB1090" s="77"/>
      <c r="AC1090" s="77"/>
      <c r="AD1090" s="77"/>
      <c r="AE1090" s="77"/>
      <c r="AF1090" s="77"/>
      <c r="AG1090" s="77"/>
      <c r="AH1090" s="78"/>
      <c r="AI1090" s="78"/>
      <c r="AJ1090" s="78"/>
      <c r="AK1090" s="78"/>
      <c r="AL1090" s="78"/>
      <c r="AM1090" s="78"/>
      <c r="AN1090" s="76"/>
      <c r="AO1090" s="76"/>
      <c r="AP1090" s="76"/>
      <c r="AQ1090" s="76"/>
      <c r="AR1090" s="76"/>
      <c r="AS1090" s="76"/>
      <c r="AT1090" s="76"/>
      <c r="AU1090" s="76"/>
      <c r="AV1090" s="76"/>
      <c r="AW1090" s="79"/>
      <c r="AX1090" s="79"/>
      <c r="AY1090" s="79"/>
      <c r="AZ1090" s="79"/>
      <c r="BA1090" s="79"/>
      <c r="BB1090" s="11"/>
      <c r="BC1090" s="11"/>
      <c r="BD1090" s="11"/>
      <c r="BE1090" s="73"/>
      <c r="BF1090" s="73"/>
      <c r="BG1090" s="73"/>
      <c r="BH1090" s="77"/>
      <c r="BI1090" s="77"/>
      <c r="BJ1090" s="77"/>
      <c r="BK1090" s="77"/>
      <c r="BL1090" s="77"/>
      <c r="BM1090" s="77"/>
      <c r="BN1090" s="158"/>
      <c r="BO1090" s="158"/>
    </row>
    <row r="1091" spans="1:67" ht="15" x14ac:dyDescent="0.25">
      <c r="A1091" s="71"/>
      <c r="B1091" s="11"/>
      <c r="C1091" s="11"/>
      <c r="D1091" s="11"/>
      <c r="E1091" s="11"/>
      <c r="F1091" s="11"/>
      <c r="G1091" s="11"/>
      <c r="H1091" s="11"/>
      <c r="I1091" s="11"/>
      <c r="J1091" s="249"/>
      <c r="K1091" s="73"/>
      <c r="L1091" s="75"/>
      <c r="M1091" s="73"/>
      <c r="N1091" s="74"/>
      <c r="O1091" s="75"/>
      <c r="P1091" s="73"/>
      <c r="Q1091" s="76"/>
      <c r="R1091" s="76"/>
      <c r="S1091" s="76"/>
      <c r="T1091" s="76"/>
      <c r="U1091" s="76"/>
      <c r="V1091" s="76"/>
      <c r="W1091" s="76"/>
      <c r="X1091" s="76"/>
      <c r="Y1091" s="76"/>
      <c r="Z1091" s="77"/>
      <c r="AA1091" s="77"/>
      <c r="AB1091" s="77"/>
      <c r="AC1091" s="77"/>
      <c r="AD1091" s="77"/>
      <c r="AE1091" s="77"/>
      <c r="AF1091" s="77"/>
      <c r="AG1091" s="77"/>
      <c r="AH1091" s="78"/>
      <c r="AI1091" s="78"/>
      <c r="AJ1091" s="78"/>
      <c r="AK1091" s="78"/>
      <c r="AL1091" s="78"/>
      <c r="AM1091" s="78"/>
      <c r="AN1091" s="76"/>
      <c r="AO1091" s="76"/>
      <c r="AP1091" s="76"/>
      <c r="AQ1091" s="76"/>
      <c r="AR1091" s="76"/>
      <c r="AS1091" s="76"/>
      <c r="AT1091" s="76"/>
      <c r="AU1091" s="76"/>
      <c r="AV1091" s="76"/>
      <c r="AW1091" s="79"/>
      <c r="AX1091" s="79"/>
      <c r="AY1091" s="79"/>
      <c r="AZ1091" s="79"/>
      <c r="BA1091" s="79"/>
      <c r="BB1091" s="11"/>
      <c r="BC1091" s="11"/>
      <c r="BD1091" s="11"/>
      <c r="BE1091" s="73"/>
      <c r="BF1091" s="73"/>
      <c r="BG1091" s="73"/>
      <c r="BH1091" s="77"/>
      <c r="BI1091" s="77"/>
      <c r="BJ1091" s="77"/>
      <c r="BK1091" s="77"/>
      <c r="BL1091" s="77"/>
      <c r="BM1091" s="77"/>
      <c r="BN1091" s="158"/>
      <c r="BO1091" s="158"/>
    </row>
    <row r="1092" spans="1:67" ht="15" x14ac:dyDescent="0.25">
      <c r="A1092" s="71"/>
      <c r="B1092" s="11"/>
      <c r="C1092" s="11"/>
      <c r="D1092" s="11"/>
      <c r="E1092" s="11"/>
      <c r="F1092" s="11"/>
      <c r="G1092" s="11"/>
      <c r="H1092" s="11"/>
      <c r="I1092" s="11"/>
      <c r="J1092" s="249"/>
      <c r="K1092" s="73"/>
      <c r="L1092" s="75"/>
      <c r="M1092" s="73"/>
      <c r="N1092" s="74"/>
      <c r="O1092" s="75"/>
      <c r="P1092" s="73"/>
      <c r="Q1092" s="76"/>
      <c r="R1092" s="76"/>
      <c r="S1092" s="76"/>
      <c r="T1092" s="76"/>
      <c r="U1092" s="76"/>
      <c r="V1092" s="76"/>
      <c r="W1092" s="76"/>
      <c r="X1092" s="76"/>
      <c r="Y1092" s="76"/>
      <c r="Z1092" s="77"/>
      <c r="AA1092" s="77"/>
      <c r="AB1092" s="77"/>
      <c r="AC1092" s="77"/>
      <c r="AD1092" s="77"/>
      <c r="AE1092" s="77"/>
      <c r="AF1092" s="77"/>
      <c r="AG1092" s="77"/>
      <c r="AH1092" s="78"/>
      <c r="AI1092" s="78"/>
      <c r="AJ1092" s="78"/>
      <c r="AK1092" s="78"/>
      <c r="AL1092" s="78"/>
      <c r="AM1092" s="78"/>
      <c r="AN1092" s="76"/>
      <c r="AO1092" s="76"/>
      <c r="AP1092" s="76"/>
      <c r="AQ1092" s="76"/>
      <c r="AR1092" s="76"/>
      <c r="AS1092" s="76"/>
      <c r="AT1092" s="76"/>
      <c r="AU1092" s="76"/>
      <c r="AV1092" s="76"/>
      <c r="AW1092" s="79"/>
      <c r="AX1092" s="79"/>
      <c r="AY1092" s="79"/>
      <c r="AZ1092" s="79"/>
      <c r="BA1092" s="79"/>
      <c r="BB1092" s="11"/>
      <c r="BC1092" s="11"/>
      <c r="BD1092" s="11"/>
      <c r="BE1092" s="73"/>
      <c r="BF1092" s="73"/>
      <c r="BG1092" s="73"/>
      <c r="BH1092" s="77"/>
      <c r="BI1092" s="77"/>
      <c r="BJ1092" s="77"/>
      <c r="BK1092" s="77"/>
      <c r="BL1092" s="77"/>
      <c r="BM1092" s="77"/>
      <c r="BN1092" s="158"/>
      <c r="BO1092" s="158"/>
    </row>
    <row r="1093" spans="1:67" ht="15" x14ac:dyDescent="0.25">
      <c r="A1093" s="71"/>
      <c r="B1093" s="11"/>
      <c r="C1093" s="11"/>
      <c r="D1093" s="11"/>
      <c r="E1093" s="11"/>
      <c r="F1093" s="11"/>
      <c r="G1093" s="11"/>
      <c r="H1093" s="11"/>
      <c r="I1093" s="11"/>
      <c r="J1093" s="249"/>
      <c r="K1093" s="73"/>
      <c r="L1093" s="75"/>
      <c r="M1093" s="73"/>
      <c r="N1093" s="74"/>
      <c r="O1093" s="75"/>
      <c r="P1093" s="73"/>
      <c r="Q1093" s="76"/>
      <c r="R1093" s="76"/>
      <c r="S1093" s="76"/>
      <c r="T1093" s="76"/>
      <c r="U1093" s="76"/>
      <c r="V1093" s="76"/>
      <c r="W1093" s="76"/>
      <c r="X1093" s="76"/>
      <c r="Y1093" s="76"/>
      <c r="Z1093" s="77"/>
      <c r="AA1093" s="77"/>
      <c r="AB1093" s="77"/>
      <c r="AC1093" s="77"/>
      <c r="AD1093" s="77"/>
      <c r="AE1093" s="77"/>
      <c r="AF1093" s="77"/>
      <c r="AG1093" s="77"/>
      <c r="AH1093" s="78"/>
      <c r="AI1093" s="78"/>
      <c r="AJ1093" s="78"/>
      <c r="AK1093" s="78"/>
      <c r="AL1093" s="78"/>
      <c r="AM1093" s="78"/>
      <c r="AN1093" s="76"/>
      <c r="AO1093" s="76"/>
      <c r="AP1093" s="76"/>
      <c r="AQ1093" s="76"/>
      <c r="AR1093" s="76"/>
      <c r="AS1093" s="76"/>
      <c r="AT1093" s="76"/>
      <c r="AU1093" s="76"/>
      <c r="AV1093" s="76"/>
      <c r="AW1093" s="79"/>
      <c r="AX1093" s="79"/>
      <c r="AY1093" s="79"/>
      <c r="AZ1093" s="79"/>
      <c r="BA1093" s="79"/>
      <c r="BB1093" s="11"/>
      <c r="BC1093" s="11"/>
      <c r="BD1093" s="11"/>
      <c r="BE1093" s="73"/>
      <c r="BF1093" s="73"/>
      <c r="BG1093" s="73"/>
      <c r="BH1093" s="77"/>
      <c r="BI1093" s="77"/>
      <c r="BJ1093" s="77"/>
      <c r="BK1093" s="77"/>
      <c r="BL1093" s="77"/>
      <c r="BM1093" s="77"/>
      <c r="BN1093" s="158"/>
      <c r="BO1093" s="158"/>
    </row>
    <row r="1094" spans="1:67" ht="15" x14ac:dyDescent="0.25">
      <c r="A1094" s="71"/>
      <c r="B1094" s="11"/>
      <c r="C1094" s="11"/>
      <c r="D1094" s="11"/>
      <c r="E1094" s="11"/>
      <c r="F1094" s="11"/>
      <c r="G1094" s="11"/>
      <c r="H1094" s="11"/>
      <c r="I1094" s="11"/>
      <c r="J1094" s="249"/>
      <c r="K1094" s="73"/>
      <c r="L1094" s="75"/>
      <c r="M1094" s="73"/>
      <c r="N1094" s="74"/>
      <c r="O1094" s="75"/>
      <c r="P1094" s="73"/>
      <c r="Q1094" s="76"/>
      <c r="R1094" s="76"/>
      <c r="S1094" s="76"/>
      <c r="T1094" s="76"/>
      <c r="U1094" s="76"/>
      <c r="V1094" s="76"/>
      <c r="W1094" s="76"/>
      <c r="X1094" s="76"/>
      <c r="Y1094" s="76"/>
      <c r="Z1094" s="77"/>
      <c r="AA1094" s="77"/>
      <c r="AB1094" s="77"/>
      <c r="AC1094" s="77"/>
      <c r="AD1094" s="77"/>
      <c r="AE1094" s="77"/>
      <c r="AF1094" s="77"/>
      <c r="AG1094" s="77"/>
      <c r="AH1094" s="78"/>
      <c r="AI1094" s="78"/>
      <c r="AJ1094" s="78"/>
      <c r="AK1094" s="78"/>
      <c r="AL1094" s="78"/>
      <c r="AM1094" s="78"/>
      <c r="AN1094" s="76"/>
      <c r="AO1094" s="76"/>
      <c r="AP1094" s="76"/>
      <c r="AQ1094" s="76"/>
      <c r="AR1094" s="76"/>
      <c r="AS1094" s="76"/>
      <c r="AT1094" s="76"/>
      <c r="AU1094" s="76"/>
      <c r="AV1094" s="76"/>
      <c r="AW1094" s="79"/>
      <c r="AX1094" s="79"/>
      <c r="AY1094" s="79"/>
      <c r="AZ1094" s="79"/>
      <c r="BA1094" s="79"/>
      <c r="BB1094" s="11"/>
      <c r="BC1094" s="11"/>
      <c r="BD1094" s="11"/>
      <c r="BE1094" s="73"/>
      <c r="BF1094" s="73"/>
      <c r="BG1094" s="73"/>
      <c r="BH1094" s="77"/>
      <c r="BI1094" s="77"/>
      <c r="BJ1094" s="77"/>
      <c r="BK1094" s="77"/>
      <c r="BL1094" s="77"/>
      <c r="BM1094" s="77"/>
      <c r="BN1094" s="158"/>
      <c r="BO1094" s="158"/>
    </row>
    <row r="1095" spans="1:67" ht="15" x14ac:dyDescent="0.25">
      <c r="A1095" s="71"/>
      <c r="B1095" s="11"/>
      <c r="C1095" s="11"/>
      <c r="D1095" s="11"/>
      <c r="E1095" s="11"/>
      <c r="F1095" s="11"/>
      <c r="G1095" s="11"/>
      <c r="H1095" s="11"/>
      <c r="I1095" s="11"/>
      <c r="J1095" s="249"/>
      <c r="K1095" s="73"/>
      <c r="L1095" s="75"/>
      <c r="M1095" s="73"/>
      <c r="N1095" s="74"/>
      <c r="O1095" s="75"/>
      <c r="P1095" s="73"/>
      <c r="Q1095" s="76"/>
      <c r="R1095" s="76"/>
      <c r="S1095" s="76"/>
      <c r="T1095" s="76"/>
      <c r="U1095" s="76"/>
      <c r="V1095" s="76"/>
      <c r="W1095" s="76"/>
      <c r="X1095" s="76"/>
      <c r="Y1095" s="76"/>
      <c r="Z1095" s="77"/>
      <c r="AA1095" s="77"/>
      <c r="AB1095" s="77"/>
      <c r="AC1095" s="77"/>
      <c r="AD1095" s="77"/>
      <c r="AE1095" s="77"/>
      <c r="AF1095" s="77"/>
      <c r="AG1095" s="77"/>
      <c r="AH1095" s="78"/>
      <c r="AI1095" s="78"/>
      <c r="AJ1095" s="78"/>
      <c r="AK1095" s="78"/>
      <c r="AL1095" s="78"/>
      <c r="AM1095" s="78"/>
      <c r="AN1095" s="76"/>
      <c r="AO1095" s="76"/>
      <c r="AP1095" s="76"/>
      <c r="AQ1095" s="76"/>
      <c r="AR1095" s="76"/>
      <c r="AS1095" s="76"/>
      <c r="AT1095" s="76"/>
      <c r="AU1095" s="76"/>
      <c r="AV1095" s="76"/>
      <c r="AW1095" s="79"/>
      <c r="AX1095" s="79"/>
      <c r="AY1095" s="79"/>
      <c r="AZ1095" s="79"/>
      <c r="BA1095" s="79"/>
      <c r="BB1095" s="11"/>
      <c r="BC1095" s="11"/>
      <c r="BD1095" s="11"/>
      <c r="BE1095" s="73"/>
      <c r="BF1095" s="73"/>
      <c r="BG1095" s="73"/>
      <c r="BH1095" s="77"/>
      <c r="BI1095" s="77"/>
      <c r="BJ1095" s="77"/>
      <c r="BK1095" s="77"/>
      <c r="BL1095" s="77"/>
      <c r="BM1095" s="77"/>
      <c r="BN1095" s="158"/>
      <c r="BO1095" s="158"/>
    </row>
    <row r="1096" spans="1:67" ht="15" x14ac:dyDescent="0.25">
      <c r="A1096" s="71"/>
      <c r="B1096" s="11"/>
      <c r="C1096" s="11"/>
      <c r="D1096" s="11"/>
      <c r="E1096" s="11"/>
      <c r="F1096" s="11"/>
      <c r="G1096" s="11"/>
      <c r="H1096" s="11"/>
      <c r="I1096" s="11"/>
      <c r="J1096" s="249"/>
      <c r="K1096" s="73"/>
      <c r="L1096" s="75"/>
      <c r="M1096" s="73"/>
      <c r="N1096" s="74"/>
      <c r="O1096" s="75"/>
      <c r="P1096" s="73"/>
      <c r="Q1096" s="76"/>
      <c r="R1096" s="76"/>
      <c r="S1096" s="76"/>
      <c r="T1096" s="76"/>
      <c r="U1096" s="76"/>
      <c r="V1096" s="76"/>
      <c r="W1096" s="76"/>
      <c r="X1096" s="76"/>
      <c r="Y1096" s="76"/>
      <c r="Z1096" s="77"/>
      <c r="AA1096" s="77"/>
      <c r="AB1096" s="77"/>
      <c r="AC1096" s="77"/>
      <c r="AD1096" s="77"/>
      <c r="AE1096" s="77"/>
      <c r="AF1096" s="77"/>
      <c r="AG1096" s="77"/>
      <c r="AH1096" s="78"/>
      <c r="AI1096" s="78"/>
      <c r="AJ1096" s="78"/>
      <c r="AK1096" s="78"/>
      <c r="AL1096" s="78"/>
      <c r="AM1096" s="78"/>
      <c r="AN1096" s="76"/>
      <c r="AO1096" s="76"/>
      <c r="AP1096" s="76"/>
      <c r="AQ1096" s="76"/>
      <c r="AR1096" s="76"/>
      <c r="AS1096" s="76"/>
      <c r="AT1096" s="76"/>
      <c r="AU1096" s="76"/>
      <c r="AV1096" s="76"/>
      <c r="AW1096" s="79"/>
      <c r="AX1096" s="79"/>
      <c r="AY1096" s="79"/>
      <c r="AZ1096" s="79"/>
      <c r="BA1096" s="79"/>
      <c r="BB1096" s="11"/>
      <c r="BC1096" s="11"/>
      <c r="BD1096" s="11"/>
      <c r="BE1096" s="73"/>
      <c r="BF1096" s="73"/>
      <c r="BG1096" s="73"/>
      <c r="BH1096" s="77"/>
      <c r="BI1096" s="77"/>
      <c r="BJ1096" s="77"/>
      <c r="BK1096" s="77"/>
      <c r="BL1096" s="77"/>
      <c r="BM1096" s="77"/>
      <c r="BN1096" s="158"/>
      <c r="BO1096" s="158"/>
    </row>
    <row r="1097" spans="1:67" ht="15" x14ac:dyDescent="0.25">
      <c r="A1097" s="71"/>
      <c r="B1097" s="11"/>
      <c r="C1097" s="11"/>
      <c r="D1097" s="11"/>
      <c r="E1097" s="11"/>
      <c r="F1097" s="11"/>
      <c r="G1097" s="11"/>
      <c r="H1097" s="11"/>
      <c r="I1097" s="11"/>
      <c r="J1097" s="249"/>
      <c r="K1097" s="73"/>
      <c r="L1097" s="75"/>
      <c r="M1097" s="73"/>
      <c r="N1097" s="74"/>
      <c r="O1097" s="75"/>
      <c r="P1097" s="73"/>
      <c r="Q1097" s="76"/>
      <c r="R1097" s="76"/>
      <c r="S1097" s="76"/>
      <c r="T1097" s="76"/>
      <c r="U1097" s="76"/>
      <c r="V1097" s="76"/>
      <c r="W1097" s="76"/>
      <c r="X1097" s="76"/>
      <c r="Y1097" s="76"/>
      <c r="Z1097" s="77"/>
      <c r="AA1097" s="77"/>
      <c r="AB1097" s="77"/>
      <c r="AC1097" s="77"/>
      <c r="AD1097" s="77"/>
      <c r="AE1097" s="77"/>
      <c r="AF1097" s="77"/>
      <c r="AG1097" s="77"/>
      <c r="AH1097" s="78"/>
      <c r="AI1097" s="78"/>
      <c r="AJ1097" s="78"/>
      <c r="AK1097" s="78"/>
      <c r="AL1097" s="78"/>
      <c r="AM1097" s="78"/>
      <c r="AN1097" s="76"/>
      <c r="AO1097" s="76"/>
      <c r="AP1097" s="76"/>
      <c r="AQ1097" s="76"/>
      <c r="AR1097" s="76"/>
      <c r="AS1097" s="76"/>
      <c r="AT1097" s="76"/>
      <c r="AU1097" s="76"/>
      <c r="AV1097" s="76"/>
      <c r="AW1097" s="79"/>
      <c r="AX1097" s="79"/>
      <c r="AY1097" s="79"/>
      <c r="AZ1097" s="79"/>
      <c r="BA1097" s="79"/>
      <c r="BB1097" s="11"/>
      <c r="BC1097" s="11"/>
      <c r="BD1097" s="11"/>
      <c r="BE1097" s="73"/>
      <c r="BF1097" s="73"/>
      <c r="BG1097" s="73"/>
      <c r="BH1097" s="77"/>
      <c r="BI1097" s="77"/>
      <c r="BJ1097" s="77"/>
      <c r="BK1097" s="77"/>
      <c r="BL1097" s="77"/>
      <c r="BM1097" s="77"/>
      <c r="BN1097" s="158"/>
      <c r="BO1097" s="158"/>
    </row>
    <row r="1098" spans="1:67" ht="15" x14ac:dyDescent="0.25">
      <c r="A1098" s="71"/>
      <c r="B1098" s="11"/>
      <c r="C1098" s="11"/>
      <c r="D1098" s="11"/>
      <c r="E1098" s="11"/>
      <c r="F1098" s="11"/>
      <c r="G1098" s="11"/>
      <c r="H1098" s="11"/>
      <c r="I1098" s="11"/>
      <c r="J1098" s="249"/>
      <c r="K1098" s="73"/>
      <c r="L1098" s="75"/>
      <c r="M1098" s="73"/>
      <c r="N1098" s="74"/>
      <c r="O1098" s="75"/>
      <c r="P1098" s="73"/>
      <c r="Q1098" s="76"/>
      <c r="R1098" s="76"/>
      <c r="S1098" s="76"/>
      <c r="T1098" s="76"/>
      <c r="U1098" s="76"/>
      <c r="V1098" s="76"/>
      <c r="W1098" s="76"/>
      <c r="X1098" s="76"/>
      <c r="Y1098" s="76"/>
      <c r="Z1098" s="77"/>
      <c r="AA1098" s="77"/>
      <c r="AB1098" s="77"/>
      <c r="AC1098" s="77"/>
      <c r="AD1098" s="77"/>
      <c r="AE1098" s="77"/>
      <c r="AF1098" s="77"/>
      <c r="AG1098" s="77"/>
      <c r="AH1098" s="78"/>
      <c r="AI1098" s="78"/>
      <c r="AJ1098" s="78"/>
      <c r="AK1098" s="78"/>
      <c r="AL1098" s="78"/>
      <c r="AM1098" s="78"/>
      <c r="AN1098" s="76"/>
      <c r="AO1098" s="76"/>
      <c r="AP1098" s="76"/>
      <c r="AQ1098" s="76"/>
      <c r="AR1098" s="76"/>
      <c r="AS1098" s="76"/>
      <c r="AT1098" s="76"/>
      <c r="AU1098" s="76"/>
      <c r="AV1098" s="76"/>
      <c r="AW1098" s="79"/>
      <c r="AX1098" s="79"/>
      <c r="AY1098" s="79"/>
      <c r="AZ1098" s="79"/>
      <c r="BA1098" s="79"/>
      <c r="BB1098" s="11"/>
      <c r="BC1098" s="11"/>
      <c r="BD1098" s="11"/>
      <c r="BE1098" s="73"/>
      <c r="BF1098" s="73"/>
      <c r="BG1098" s="73"/>
      <c r="BH1098" s="77"/>
      <c r="BI1098" s="77"/>
      <c r="BJ1098" s="77"/>
      <c r="BK1098" s="77"/>
      <c r="BL1098" s="77"/>
      <c r="BM1098" s="77"/>
      <c r="BN1098" s="158"/>
      <c r="BO1098" s="158"/>
    </row>
    <row r="1099" spans="1:67" ht="15" x14ac:dyDescent="0.25">
      <c r="A1099" s="71"/>
      <c r="B1099" s="11"/>
      <c r="C1099" s="11"/>
      <c r="D1099" s="11"/>
      <c r="E1099" s="11"/>
      <c r="F1099" s="11"/>
      <c r="G1099" s="11"/>
      <c r="H1099" s="11"/>
      <c r="I1099" s="11"/>
      <c r="J1099" s="249"/>
      <c r="K1099" s="73"/>
      <c r="L1099" s="75"/>
      <c r="M1099" s="73"/>
      <c r="N1099" s="74"/>
      <c r="O1099" s="75"/>
      <c r="P1099" s="73"/>
      <c r="Q1099" s="76"/>
      <c r="R1099" s="76"/>
      <c r="S1099" s="76"/>
      <c r="T1099" s="76"/>
      <c r="U1099" s="76"/>
      <c r="V1099" s="76"/>
      <c r="W1099" s="76"/>
      <c r="X1099" s="76"/>
      <c r="Y1099" s="76"/>
      <c r="Z1099" s="77"/>
      <c r="AA1099" s="77"/>
      <c r="AB1099" s="77"/>
      <c r="AC1099" s="77"/>
      <c r="AD1099" s="77"/>
      <c r="AE1099" s="77"/>
      <c r="AF1099" s="77"/>
      <c r="AG1099" s="77"/>
      <c r="AH1099" s="78"/>
      <c r="AI1099" s="78"/>
      <c r="AJ1099" s="78"/>
      <c r="AK1099" s="78"/>
      <c r="AL1099" s="78"/>
      <c r="AM1099" s="78"/>
      <c r="AN1099" s="76"/>
      <c r="AO1099" s="76"/>
      <c r="AP1099" s="76"/>
      <c r="AQ1099" s="76"/>
      <c r="AR1099" s="76"/>
      <c r="AS1099" s="76"/>
      <c r="AT1099" s="76"/>
      <c r="AU1099" s="76"/>
      <c r="AV1099" s="76"/>
      <c r="AW1099" s="79"/>
      <c r="AX1099" s="79"/>
      <c r="AY1099" s="79"/>
      <c r="AZ1099" s="79"/>
      <c r="BA1099" s="79"/>
      <c r="BB1099" s="11"/>
      <c r="BC1099" s="11"/>
      <c r="BD1099" s="11"/>
      <c r="BE1099" s="73"/>
      <c r="BF1099" s="73"/>
      <c r="BG1099" s="73"/>
      <c r="BH1099" s="77"/>
      <c r="BI1099" s="77"/>
      <c r="BJ1099" s="77"/>
      <c r="BK1099" s="77"/>
      <c r="BL1099" s="77"/>
      <c r="BM1099" s="77"/>
      <c r="BN1099" s="158"/>
      <c r="BO1099" s="158"/>
    </row>
    <row r="1100" spans="1:67" ht="15" x14ac:dyDescent="0.25">
      <c r="A1100" s="71"/>
      <c r="B1100" s="11"/>
      <c r="C1100" s="11"/>
      <c r="D1100" s="11"/>
      <c r="E1100" s="11"/>
      <c r="F1100" s="11"/>
      <c r="G1100" s="11"/>
      <c r="H1100" s="11"/>
      <c r="I1100" s="11"/>
      <c r="J1100" s="249"/>
      <c r="K1100" s="73"/>
      <c r="L1100" s="75"/>
      <c r="M1100" s="73"/>
      <c r="N1100" s="74"/>
      <c r="O1100" s="75"/>
      <c r="P1100" s="73"/>
      <c r="Q1100" s="76"/>
      <c r="R1100" s="76"/>
      <c r="S1100" s="76"/>
      <c r="T1100" s="76"/>
      <c r="U1100" s="76"/>
      <c r="V1100" s="76"/>
      <c r="W1100" s="76"/>
      <c r="X1100" s="76"/>
      <c r="Y1100" s="76"/>
      <c r="Z1100" s="77"/>
      <c r="AA1100" s="77"/>
      <c r="AB1100" s="77"/>
      <c r="AC1100" s="77"/>
      <c r="AD1100" s="77"/>
      <c r="AE1100" s="77"/>
      <c r="AF1100" s="77"/>
      <c r="AG1100" s="77"/>
      <c r="AH1100" s="78"/>
      <c r="AI1100" s="78"/>
      <c r="AJ1100" s="78"/>
      <c r="AK1100" s="78"/>
      <c r="AL1100" s="78"/>
      <c r="AM1100" s="78"/>
      <c r="AN1100" s="76"/>
      <c r="AO1100" s="76"/>
      <c r="AP1100" s="76"/>
      <c r="AQ1100" s="76"/>
      <c r="AR1100" s="76"/>
      <c r="AS1100" s="76"/>
      <c r="AT1100" s="76"/>
      <c r="AU1100" s="76"/>
      <c r="AV1100" s="76"/>
      <c r="AW1100" s="79"/>
      <c r="AX1100" s="79"/>
      <c r="AY1100" s="79"/>
      <c r="AZ1100" s="79"/>
      <c r="BA1100" s="79"/>
      <c r="BB1100" s="11"/>
      <c r="BC1100" s="11"/>
      <c r="BD1100" s="11"/>
      <c r="BE1100" s="73"/>
      <c r="BF1100" s="73"/>
      <c r="BG1100" s="73"/>
      <c r="BH1100" s="77"/>
      <c r="BI1100" s="77"/>
      <c r="BJ1100" s="77"/>
      <c r="BK1100" s="77"/>
      <c r="BL1100" s="77"/>
      <c r="BM1100" s="77"/>
      <c r="BN1100" s="158"/>
      <c r="BO1100" s="158"/>
    </row>
    <row r="1101" spans="1:67" ht="15" x14ac:dyDescent="0.25">
      <c r="A1101" s="71"/>
      <c r="B1101" s="11"/>
      <c r="C1101" s="11"/>
      <c r="D1101" s="11"/>
      <c r="E1101" s="11"/>
      <c r="F1101" s="11"/>
      <c r="G1101" s="11"/>
      <c r="H1101" s="11"/>
      <c r="I1101" s="11"/>
      <c r="J1101" s="249"/>
      <c r="K1101" s="73"/>
      <c r="L1101" s="75"/>
      <c r="M1101" s="73"/>
      <c r="N1101" s="74"/>
      <c r="O1101" s="75"/>
      <c r="P1101" s="73"/>
      <c r="Q1101" s="76"/>
      <c r="R1101" s="76"/>
      <c r="S1101" s="76"/>
      <c r="T1101" s="76"/>
      <c r="U1101" s="76"/>
      <c r="V1101" s="76"/>
      <c r="W1101" s="76"/>
      <c r="X1101" s="76"/>
      <c r="Y1101" s="76"/>
      <c r="Z1101" s="77"/>
      <c r="AA1101" s="77"/>
      <c r="AB1101" s="77"/>
      <c r="AC1101" s="77"/>
      <c r="AD1101" s="77"/>
      <c r="AE1101" s="77"/>
      <c r="AF1101" s="77"/>
      <c r="AG1101" s="77"/>
      <c r="AH1101" s="78"/>
      <c r="AI1101" s="78"/>
      <c r="AJ1101" s="78"/>
      <c r="AK1101" s="78"/>
      <c r="AL1101" s="78"/>
      <c r="AM1101" s="78"/>
      <c r="AN1101" s="76"/>
      <c r="AO1101" s="76"/>
      <c r="AP1101" s="76"/>
      <c r="AQ1101" s="76"/>
      <c r="AR1101" s="76"/>
      <c r="AS1101" s="76"/>
      <c r="AT1101" s="76"/>
      <c r="AU1101" s="76"/>
      <c r="AV1101" s="76"/>
      <c r="AW1101" s="79"/>
      <c r="AX1101" s="79"/>
      <c r="AY1101" s="79"/>
      <c r="AZ1101" s="79"/>
      <c r="BA1101" s="79"/>
      <c r="BB1101" s="11"/>
      <c r="BC1101" s="11"/>
      <c r="BD1101" s="11"/>
      <c r="BE1101" s="73"/>
      <c r="BF1101" s="73"/>
      <c r="BG1101" s="73"/>
      <c r="BH1101" s="77"/>
      <c r="BI1101" s="77"/>
      <c r="BJ1101" s="77"/>
      <c r="BK1101" s="77"/>
      <c r="BL1101" s="77"/>
      <c r="BM1101" s="77"/>
      <c r="BN1101" s="158"/>
      <c r="BO1101" s="158"/>
    </row>
    <row r="1102" spans="1:67" ht="15" x14ac:dyDescent="0.25">
      <c r="A1102" s="71"/>
      <c r="B1102" s="11"/>
      <c r="C1102" s="11"/>
      <c r="D1102" s="11"/>
      <c r="E1102" s="11"/>
      <c r="F1102" s="11"/>
      <c r="G1102" s="11"/>
      <c r="H1102" s="11"/>
      <c r="I1102" s="11"/>
      <c r="J1102" s="249"/>
      <c r="K1102" s="73"/>
      <c r="L1102" s="75"/>
      <c r="M1102" s="73"/>
      <c r="N1102" s="74"/>
      <c r="O1102" s="75"/>
      <c r="P1102" s="73"/>
      <c r="Q1102" s="76"/>
      <c r="R1102" s="76"/>
      <c r="S1102" s="76"/>
      <c r="T1102" s="76"/>
      <c r="U1102" s="76"/>
      <c r="V1102" s="76"/>
      <c r="W1102" s="76"/>
      <c r="X1102" s="76"/>
      <c r="Y1102" s="76"/>
      <c r="Z1102" s="77"/>
      <c r="AA1102" s="77"/>
      <c r="AB1102" s="77"/>
      <c r="AC1102" s="77"/>
      <c r="AD1102" s="77"/>
      <c r="AE1102" s="77"/>
      <c r="AF1102" s="77"/>
      <c r="AG1102" s="77"/>
      <c r="AH1102" s="78"/>
      <c r="AI1102" s="78"/>
      <c r="AJ1102" s="78"/>
      <c r="AK1102" s="78"/>
      <c r="AL1102" s="78"/>
      <c r="AM1102" s="78"/>
      <c r="AN1102" s="76"/>
      <c r="AO1102" s="76"/>
      <c r="AP1102" s="76"/>
      <c r="AQ1102" s="76"/>
      <c r="AR1102" s="76"/>
      <c r="AS1102" s="76"/>
      <c r="AT1102" s="76"/>
      <c r="AU1102" s="76"/>
      <c r="AV1102" s="76"/>
      <c r="AW1102" s="79"/>
      <c r="AX1102" s="79"/>
      <c r="AY1102" s="79"/>
      <c r="AZ1102" s="79"/>
      <c r="BA1102" s="79"/>
      <c r="BB1102" s="11"/>
      <c r="BC1102" s="11"/>
      <c r="BD1102" s="11"/>
      <c r="BE1102" s="73"/>
      <c r="BF1102" s="73"/>
      <c r="BG1102" s="73"/>
      <c r="BH1102" s="77"/>
      <c r="BI1102" s="77"/>
      <c r="BJ1102" s="77"/>
      <c r="BK1102" s="77"/>
      <c r="BL1102" s="77"/>
      <c r="BM1102" s="77"/>
      <c r="BN1102" s="158"/>
      <c r="BO1102" s="158"/>
    </row>
    <row r="1103" spans="1:67" ht="15" x14ac:dyDescent="0.25">
      <c r="A1103" s="71"/>
      <c r="B1103" s="11"/>
      <c r="C1103" s="11"/>
      <c r="D1103" s="11"/>
      <c r="E1103" s="11"/>
      <c r="F1103" s="11"/>
      <c r="G1103" s="11"/>
      <c r="H1103" s="11"/>
      <c r="I1103" s="11"/>
      <c r="J1103" s="249"/>
      <c r="K1103" s="73"/>
      <c r="L1103" s="75"/>
      <c r="M1103" s="73"/>
      <c r="N1103" s="74"/>
      <c r="O1103" s="75"/>
      <c r="P1103" s="73"/>
      <c r="Q1103" s="76"/>
      <c r="R1103" s="76"/>
      <c r="S1103" s="76"/>
      <c r="T1103" s="76"/>
      <c r="U1103" s="76"/>
      <c r="V1103" s="76"/>
      <c r="W1103" s="76"/>
      <c r="X1103" s="76"/>
      <c r="Y1103" s="76"/>
      <c r="Z1103" s="77"/>
      <c r="AA1103" s="77"/>
      <c r="AB1103" s="77"/>
      <c r="AC1103" s="77"/>
      <c r="AD1103" s="77"/>
      <c r="AE1103" s="77"/>
      <c r="AF1103" s="77"/>
      <c r="AG1103" s="77"/>
      <c r="AH1103" s="78"/>
      <c r="AI1103" s="78"/>
      <c r="AJ1103" s="78"/>
      <c r="AK1103" s="78"/>
      <c r="AL1103" s="78"/>
      <c r="AM1103" s="78"/>
      <c r="AN1103" s="76"/>
      <c r="AO1103" s="76"/>
      <c r="AP1103" s="76"/>
      <c r="AQ1103" s="76"/>
      <c r="AR1103" s="76"/>
      <c r="AS1103" s="76"/>
      <c r="AT1103" s="76"/>
      <c r="AU1103" s="76"/>
      <c r="AV1103" s="76"/>
      <c r="AW1103" s="79"/>
      <c r="AX1103" s="79"/>
      <c r="AY1103" s="79"/>
      <c r="AZ1103" s="79"/>
      <c r="BA1103" s="79"/>
      <c r="BB1103" s="11"/>
      <c r="BC1103" s="11"/>
      <c r="BD1103" s="11"/>
      <c r="BE1103" s="73"/>
      <c r="BF1103" s="73"/>
      <c r="BG1103" s="73"/>
      <c r="BH1103" s="77"/>
      <c r="BI1103" s="77"/>
      <c r="BJ1103" s="77"/>
      <c r="BK1103" s="77"/>
      <c r="BL1103" s="77"/>
      <c r="BM1103" s="77"/>
      <c r="BN1103" s="158"/>
      <c r="BO1103" s="158"/>
    </row>
    <row r="1104" spans="1:67" ht="15" x14ac:dyDescent="0.25">
      <c r="A1104" s="71"/>
      <c r="B1104" s="11"/>
      <c r="C1104" s="11"/>
      <c r="D1104" s="11"/>
      <c r="E1104" s="11"/>
      <c r="F1104" s="11"/>
      <c r="G1104" s="11"/>
      <c r="H1104" s="11"/>
      <c r="I1104" s="11"/>
      <c r="J1104" s="249"/>
      <c r="K1104" s="73"/>
      <c r="L1104" s="75"/>
      <c r="M1104" s="73"/>
      <c r="N1104" s="74"/>
      <c r="O1104" s="75"/>
      <c r="P1104" s="73"/>
      <c r="Q1104" s="76"/>
      <c r="R1104" s="76"/>
      <c r="S1104" s="76"/>
      <c r="T1104" s="76"/>
      <c r="U1104" s="76"/>
      <c r="V1104" s="76"/>
      <c r="W1104" s="76"/>
      <c r="X1104" s="76"/>
      <c r="Y1104" s="76"/>
      <c r="Z1104" s="77"/>
      <c r="AA1104" s="77"/>
      <c r="AB1104" s="77"/>
      <c r="AC1104" s="77"/>
      <c r="AD1104" s="77"/>
      <c r="AE1104" s="77"/>
      <c r="AF1104" s="77"/>
      <c r="AG1104" s="77"/>
      <c r="AH1104" s="78"/>
      <c r="AI1104" s="78"/>
      <c r="AJ1104" s="78"/>
      <c r="AK1104" s="78"/>
      <c r="AL1104" s="78"/>
      <c r="AM1104" s="78"/>
      <c r="AN1104" s="76"/>
      <c r="AO1104" s="76"/>
      <c r="AP1104" s="76"/>
      <c r="AQ1104" s="76"/>
      <c r="AR1104" s="76"/>
      <c r="AS1104" s="76"/>
      <c r="AT1104" s="76"/>
      <c r="AU1104" s="76"/>
      <c r="AV1104" s="76"/>
      <c r="AW1104" s="79"/>
      <c r="AX1104" s="79"/>
      <c r="AY1104" s="79"/>
      <c r="AZ1104" s="79"/>
      <c r="BA1104" s="79"/>
      <c r="BB1104" s="11"/>
      <c r="BC1104" s="11"/>
      <c r="BD1104" s="11"/>
      <c r="BE1104" s="73"/>
      <c r="BF1104" s="73"/>
      <c r="BG1104" s="73"/>
      <c r="BH1104" s="77"/>
      <c r="BI1104" s="77"/>
      <c r="BJ1104" s="77"/>
      <c r="BK1104" s="77"/>
      <c r="BL1104" s="77"/>
      <c r="BM1104" s="77"/>
      <c r="BN1104" s="158"/>
      <c r="BO1104" s="158"/>
    </row>
    <row r="1105" spans="1:67" ht="15" x14ac:dyDescent="0.25">
      <c r="A1105" s="71"/>
      <c r="B1105" s="11"/>
      <c r="C1105" s="11"/>
      <c r="D1105" s="11"/>
      <c r="E1105" s="11"/>
      <c r="F1105" s="11"/>
      <c r="G1105" s="11"/>
      <c r="H1105" s="11"/>
      <c r="I1105" s="11"/>
      <c r="J1105" s="249"/>
      <c r="K1105" s="73"/>
      <c r="L1105" s="75"/>
      <c r="M1105" s="73"/>
      <c r="N1105" s="74"/>
      <c r="O1105" s="75"/>
      <c r="P1105" s="73"/>
      <c r="Q1105" s="76"/>
      <c r="R1105" s="76"/>
      <c r="S1105" s="76"/>
      <c r="T1105" s="76"/>
      <c r="U1105" s="76"/>
      <c r="V1105" s="76"/>
      <c r="W1105" s="76"/>
      <c r="X1105" s="76"/>
      <c r="Y1105" s="76"/>
      <c r="Z1105" s="77"/>
      <c r="AA1105" s="77"/>
      <c r="AB1105" s="77"/>
      <c r="AC1105" s="77"/>
      <c r="AD1105" s="77"/>
      <c r="AE1105" s="77"/>
      <c r="AF1105" s="77"/>
      <c r="AG1105" s="77"/>
      <c r="AH1105" s="78"/>
      <c r="AI1105" s="78"/>
      <c r="AJ1105" s="78"/>
      <c r="AK1105" s="78"/>
      <c r="AL1105" s="78"/>
      <c r="AM1105" s="78"/>
      <c r="AN1105" s="76"/>
      <c r="AO1105" s="76"/>
      <c r="AP1105" s="76"/>
      <c r="AQ1105" s="76"/>
      <c r="AR1105" s="76"/>
      <c r="AS1105" s="76"/>
      <c r="AT1105" s="76"/>
      <c r="AU1105" s="76"/>
      <c r="AV1105" s="76"/>
      <c r="AW1105" s="79"/>
      <c r="AX1105" s="79"/>
      <c r="AY1105" s="79"/>
      <c r="AZ1105" s="79"/>
      <c r="BA1105" s="79"/>
      <c r="BB1105" s="11"/>
      <c r="BC1105" s="11"/>
      <c r="BD1105" s="11"/>
      <c r="BE1105" s="73"/>
      <c r="BF1105" s="73"/>
      <c r="BG1105" s="73"/>
      <c r="BH1105" s="77"/>
      <c r="BI1105" s="77"/>
      <c r="BJ1105" s="77"/>
      <c r="BK1105" s="77"/>
      <c r="BL1105" s="77"/>
      <c r="BM1105" s="77"/>
      <c r="BN1105" s="158"/>
      <c r="BO1105" s="158"/>
    </row>
    <row r="1106" spans="1:67" ht="15" x14ac:dyDescent="0.25">
      <c r="A1106" s="71"/>
      <c r="B1106" s="11"/>
      <c r="C1106" s="11"/>
      <c r="D1106" s="11"/>
      <c r="E1106" s="11"/>
      <c r="F1106" s="11"/>
      <c r="G1106" s="11"/>
      <c r="H1106" s="11"/>
      <c r="I1106" s="11"/>
      <c r="J1106" s="249"/>
      <c r="K1106" s="73"/>
      <c r="L1106" s="75"/>
      <c r="M1106" s="73"/>
      <c r="N1106" s="74"/>
      <c r="O1106" s="75"/>
      <c r="P1106" s="73"/>
      <c r="Q1106" s="76"/>
      <c r="R1106" s="76"/>
      <c r="S1106" s="76"/>
      <c r="T1106" s="76"/>
      <c r="U1106" s="76"/>
      <c r="V1106" s="76"/>
      <c r="W1106" s="76"/>
      <c r="X1106" s="76"/>
      <c r="Y1106" s="76"/>
      <c r="Z1106" s="77"/>
      <c r="AA1106" s="77"/>
      <c r="AB1106" s="77"/>
      <c r="AC1106" s="77"/>
      <c r="AD1106" s="77"/>
      <c r="AE1106" s="77"/>
      <c r="AF1106" s="77"/>
      <c r="AG1106" s="77"/>
      <c r="AH1106" s="78"/>
      <c r="AI1106" s="78"/>
      <c r="AJ1106" s="78"/>
      <c r="AK1106" s="78"/>
      <c r="AL1106" s="78"/>
      <c r="AM1106" s="78"/>
      <c r="AN1106" s="76"/>
      <c r="AO1106" s="76"/>
      <c r="AP1106" s="76"/>
      <c r="AQ1106" s="76"/>
      <c r="AR1106" s="76"/>
      <c r="AS1106" s="76"/>
      <c r="AT1106" s="76"/>
      <c r="AU1106" s="76"/>
      <c r="AV1106" s="76"/>
      <c r="AW1106" s="79"/>
      <c r="AX1106" s="79"/>
      <c r="AY1106" s="79"/>
      <c r="AZ1106" s="79"/>
      <c r="BA1106" s="79"/>
      <c r="BB1106" s="11"/>
      <c r="BC1106" s="11"/>
      <c r="BD1106" s="11"/>
      <c r="BE1106" s="73"/>
      <c r="BF1106" s="73"/>
      <c r="BG1106" s="73"/>
      <c r="BH1106" s="77"/>
      <c r="BI1106" s="77"/>
      <c r="BJ1106" s="77"/>
      <c r="BK1106" s="77"/>
      <c r="BL1106" s="77"/>
      <c r="BM1106" s="77"/>
      <c r="BN1106" s="158"/>
      <c r="BO1106" s="158"/>
    </row>
    <row r="1107" spans="1:67" ht="15" x14ac:dyDescent="0.25">
      <c r="A1107" s="71"/>
      <c r="B1107" s="11"/>
      <c r="C1107" s="11"/>
      <c r="D1107" s="11"/>
      <c r="E1107" s="11"/>
      <c r="F1107" s="11"/>
      <c r="G1107" s="11"/>
      <c r="H1107" s="11"/>
      <c r="I1107" s="11"/>
      <c r="J1107" s="249"/>
      <c r="K1107" s="73"/>
      <c r="L1107" s="75"/>
      <c r="M1107" s="73"/>
      <c r="N1107" s="74"/>
      <c r="O1107" s="75"/>
      <c r="P1107" s="73"/>
      <c r="Q1107" s="76"/>
      <c r="R1107" s="76"/>
      <c r="S1107" s="76"/>
      <c r="T1107" s="76"/>
      <c r="U1107" s="76"/>
      <c r="V1107" s="76"/>
      <c r="W1107" s="76"/>
      <c r="X1107" s="76"/>
      <c r="Y1107" s="76"/>
      <c r="Z1107" s="77"/>
      <c r="AA1107" s="77"/>
      <c r="AB1107" s="77"/>
      <c r="AC1107" s="77"/>
      <c r="AD1107" s="77"/>
      <c r="AE1107" s="77"/>
      <c r="AF1107" s="77"/>
      <c r="AG1107" s="77"/>
      <c r="AH1107" s="78"/>
      <c r="AI1107" s="78"/>
      <c r="AJ1107" s="78"/>
      <c r="AK1107" s="78"/>
      <c r="AL1107" s="78"/>
      <c r="AM1107" s="78"/>
      <c r="AN1107" s="76"/>
      <c r="AO1107" s="76"/>
      <c r="AP1107" s="76"/>
      <c r="AQ1107" s="76"/>
      <c r="AR1107" s="76"/>
      <c r="AS1107" s="76"/>
      <c r="AT1107" s="76"/>
      <c r="AU1107" s="76"/>
      <c r="AV1107" s="76"/>
      <c r="AW1107" s="79"/>
      <c r="AX1107" s="79"/>
      <c r="AY1107" s="79"/>
      <c r="AZ1107" s="79"/>
      <c r="BA1107" s="79"/>
      <c r="BB1107" s="11"/>
      <c r="BC1107" s="11"/>
      <c r="BD1107" s="11"/>
      <c r="BE1107" s="73"/>
      <c r="BF1107" s="73"/>
      <c r="BG1107" s="73"/>
      <c r="BH1107" s="77"/>
      <c r="BI1107" s="77"/>
      <c r="BJ1107" s="77"/>
      <c r="BK1107" s="77"/>
      <c r="BL1107" s="77"/>
      <c r="BM1107" s="77"/>
      <c r="BN1107" s="158"/>
      <c r="BO1107" s="158"/>
    </row>
    <row r="1108" spans="1:67" ht="15" x14ac:dyDescent="0.25">
      <c r="A1108" s="71"/>
      <c r="B1108" s="11"/>
      <c r="C1108" s="11"/>
      <c r="D1108" s="11"/>
      <c r="E1108" s="11"/>
      <c r="F1108" s="11"/>
      <c r="G1108" s="11"/>
      <c r="H1108" s="11"/>
      <c r="I1108" s="11"/>
      <c r="J1108" s="249"/>
      <c r="K1108" s="73"/>
      <c r="L1108" s="75"/>
      <c r="M1108" s="73"/>
      <c r="N1108" s="74"/>
      <c r="O1108" s="75"/>
      <c r="P1108" s="73"/>
      <c r="Q1108" s="76"/>
      <c r="R1108" s="76"/>
      <c r="S1108" s="76"/>
      <c r="T1108" s="76"/>
      <c r="U1108" s="76"/>
      <c r="V1108" s="76"/>
      <c r="W1108" s="76"/>
      <c r="X1108" s="76"/>
      <c r="Y1108" s="76"/>
      <c r="Z1108" s="77"/>
      <c r="AA1108" s="77"/>
      <c r="AB1108" s="77"/>
      <c r="AC1108" s="77"/>
      <c r="AD1108" s="77"/>
      <c r="AE1108" s="77"/>
      <c r="AF1108" s="77"/>
      <c r="AG1108" s="77"/>
      <c r="AH1108" s="78"/>
      <c r="AI1108" s="78"/>
      <c r="AJ1108" s="78"/>
      <c r="AK1108" s="78"/>
      <c r="AL1108" s="78"/>
      <c r="AM1108" s="78"/>
      <c r="AN1108" s="76"/>
      <c r="AO1108" s="76"/>
      <c r="AP1108" s="76"/>
      <c r="AQ1108" s="76"/>
      <c r="AR1108" s="76"/>
      <c r="AS1108" s="76"/>
      <c r="AT1108" s="76"/>
      <c r="AU1108" s="76"/>
      <c r="AV1108" s="76"/>
      <c r="AW1108" s="79"/>
      <c r="AX1108" s="79"/>
      <c r="AY1108" s="79"/>
      <c r="AZ1108" s="79"/>
      <c r="BA1108" s="79"/>
      <c r="BB1108" s="11"/>
      <c r="BC1108" s="11"/>
      <c r="BD1108" s="11"/>
      <c r="BE1108" s="73"/>
      <c r="BF1108" s="73"/>
      <c r="BG1108" s="73"/>
      <c r="BH1108" s="77"/>
      <c r="BI1108" s="77"/>
      <c r="BJ1108" s="77"/>
      <c r="BK1108" s="77"/>
      <c r="BL1108" s="77"/>
      <c r="BM1108" s="77"/>
      <c r="BN1108" s="158"/>
      <c r="BO1108" s="158"/>
    </row>
    <row r="1109" spans="1:67" ht="15" x14ac:dyDescent="0.25">
      <c r="A1109" s="71"/>
      <c r="B1109" s="11"/>
      <c r="C1109" s="11"/>
      <c r="D1109" s="11"/>
      <c r="E1109" s="11"/>
      <c r="F1109" s="11"/>
      <c r="G1109" s="11"/>
      <c r="H1109" s="11"/>
      <c r="I1109" s="11"/>
      <c r="J1109" s="249"/>
      <c r="K1109" s="73"/>
      <c r="L1109" s="75"/>
      <c r="M1109" s="73"/>
      <c r="N1109" s="74"/>
      <c r="O1109" s="75"/>
      <c r="P1109" s="73"/>
      <c r="Q1109" s="76"/>
      <c r="R1109" s="76"/>
      <c r="S1109" s="76"/>
      <c r="T1109" s="76"/>
      <c r="U1109" s="76"/>
      <c r="V1109" s="76"/>
      <c r="W1109" s="76"/>
      <c r="X1109" s="76"/>
      <c r="Y1109" s="76"/>
      <c r="Z1109" s="77"/>
      <c r="AA1109" s="77"/>
      <c r="AB1109" s="77"/>
      <c r="AC1109" s="77"/>
      <c r="AD1109" s="77"/>
      <c r="AE1109" s="77"/>
      <c r="AF1109" s="77"/>
      <c r="AG1109" s="77"/>
      <c r="AH1109" s="78"/>
      <c r="AI1109" s="78"/>
      <c r="AJ1109" s="78"/>
      <c r="AK1109" s="78"/>
      <c r="AL1109" s="78"/>
      <c r="AM1109" s="78"/>
      <c r="AN1109" s="76"/>
      <c r="AO1109" s="76"/>
      <c r="AP1109" s="76"/>
      <c r="AQ1109" s="76"/>
      <c r="AR1109" s="76"/>
      <c r="AS1109" s="76"/>
      <c r="AT1109" s="76"/>
      <c r="AU1109" s="76"/>
      <c r="AV1109" s="76"/>
      <c r="AW1109" s="79"/>
      <c r="AX1109" s="79"/>
      <c r="AY1109" s="79"/>
      <c r="AZ1109" s="79"/>
      <c r="BA1109" s="79"/>
      <c r="BB1109" s="11"/>
      <c r="BC1109" s="11"/>
      <c r="BD1109" s="11"/>
      <c r="BE1109" s="73"/>
      <c r="BF1109" s="73"/>
      <c r="BG1109" s="73"/>
      <c r="BH1109" s="77"/>
      <c r="BI1109" s="77"/>
      <c r="BJ1109" s="77"/>
      <c r="BK1109" s="77"/>
      <c r="BL1109" s="77"/>
      <c r="BM1109" s="77"/>
      <c r="BN1109" s="158"/>
      <c r="BO1109" s="158"/>
    </row>
    <row r="1110" spans="1:67" ht="15" x14ac:dyDescent="0.25">
      <c r="A1110" s="71"/>
      <c r="B1110" s="11"/>
      <c r="C1110" s="11"/>
      <c r="D1110" s="11"/>
      <c r="E1110" s="11"/>
      <c r="F1110" s="11"/>
      <c r="G1110" s="11"/>
      <c r="H1110" s="11"/>
      <c r="I1110" s="11"/>
      <c r="J1110" s="249"/>
      <c r="K1110" s="73"/>
      <c r="L1110" s="75"/>
      <c r="M1110" s="73"/>
      <c r="N1110" s="74"/>
      <c r="O1110" s="75"/>
      <c r="P1110" s="73"/>
      <c r="Q1110" s="76"/>
      <c r="R1110" s="76"/>
      <c r="S1110" s="76"/>
      <c r="T1110" s="76"/>
      <c r="U1110" s="76"/>
      <c r="V1110" s="76"/>
      <c r="W1110" s="76"/>
      <c r="X1110" s="76"/>
      <c r="Y1110" s="76"/>
      <c r="Z1110" s="77"/>
      <c r="AA1110" s="77"/>
      <c r="AB1110" s="77"/>
      <c r="AC1110" s="77"/>
      <c r="AD1110" s="77"/>
      <c r="AE1110" s="77"/>
      <c r="AF1110" s="77"/>
      <c r="AG1110" s="77"/>
      <c r="AH1110" s="78"/>
      <c r="AI1110" s="78"/>
      <c r="AJ1110" s="78"/>
      <c r="AK1110" s="78"/>
      <c r="AL1110" s="78"/>
      <c r="AM1110" s="78"/>
      <c r="AN1110" s="76"/>
      <c r="AO1110" s="76"/>
      <c r="AP1110" s="76"/>
      <c r="AQ1110" s="76"/>
      <c r="AR1110" s="76"/>
      <c r="AS1110" s="76"/>
      <c r="AT1110" s="76"/>
      <c r="AU1110" s="76"/>
      <c r="AV1110" s="76"/>
      <c r="AW1110" s="79"/>
      <c r="AX1110" s="79"/>
      <c r="AY1110" s="79"/>
      <c r="AZ1110" s="79"/>
      <c r="BA1110" s="79"/>
      <c r="BB1110" s="11"/>
      <c r="BC1110" s="11"/>
      <c r="BD1110" s="11"/>
      <c r="BE1110" s="73"/>
      <c r="BF1110" s="73"/>
      <c r="BG1110" s="73"/>
      <c r="BH1110" s="77"/>
      <c r="BI1110" s="77"/>
      <c r="BJ1110" s="77"/>
      <c r="BK1110" s="77"/>
      <c r="BL1110" s="77"/>
      <c r="BM1110" s="77"/>
      <c r="BN1110" s="158"/>
      <c r="BO1110" s="158"/>
    </row>
    <row r="1111" spans="1:67" ht="15" x14ac:dyDescent="0.25">
      <c r="A1111" s="71"/>
      <c r="B1111" s="11"/>
      <c r="C1111" s="11"/>
      <c r="D1111" s="11"/>
      <c r="E1111" s="11"/>
      <c r="F1111" s="11"/>
      <c r="G1111" s="11"/>
      <c r="H1111" s="11"/>
      <c r="I1111" s="11"/>
      <c r="J1111" s="249"/>
      <c r="K1111" s="73"/>
      <c r="L1111" s="75"/>
      <c r="M1111" s="73"/>
      <c r="N1111" s="74"/>
      <c r="O1111" s="75"/>
      <c r="P1111" s="73"/>
      <c r="Q1111" s="76"/>
      <c r="R1111" s="76"/>
      <c r="S1111" s="76"/>
      <c r="T1111" s="76"/>
      <c r="U1111" s="76"/>
      <c r="V1111" s="76"/>
      <c r="W1111" s="76"/>
      <c r="X1111" s="76"/>
      <c r="Y1111" s="76"/>
      <c r="Z1111" s="77"/>
      <c r="AA1111" s="77"/>
      <c r="AB1111" s="77"/>
      <c r="AC1111" s="77"/>
      <c r="AD1111" s="77"/>
      <c r="AE1111" s="77"/>
      <c r="AF1111" s="77"/>
      <c r="AG1111" s="77"/>
      <c r="AH1111" s="78"/>
      <c r="AI1111" s="78"/>
      <c r="AJ1111" s="78"/>
      <c r="AK1111" s="78"/>
      <c r="AL1111" s="78"/>
      <c r="AM1111" s="78"/>
      <c r="AN1111" s="76"/>
      <c r="AO1111" s="76"/>
      <c r="AP1111" s="76"/>
      <c r="AQ1111" s="76"/>
      <c r="AR1111" s="76"/>
      <c r="AS1111" s="76"/>
      <c r="AT1111" s="76"/>
      <c r="AU1111" s="76"/>
      <c r="AV1111" s="76"/>
      <c r="AW1111" s="79"/>
      <c r="AX1111" s="79"/>
      <c r="AY1111" s="79"/>
      <c r="AZ1111" s="79"/>
      <c r="BA1111" s="79"/>
      <c r="BB1111" s="11"/>
      <c r="BC1111" s="11"/>
      <c r="BD1111" s="11"/>
      <c r="BE1111" s="73"/>
      <c r="BF1111" s="73"/>
      <c r="BG1111" s="73"/>
      <c r="BH1111" s="77"/>
      <c r="BI1111" s="77"/>
      <c r="BJ1111" s="77"/>
      <c r="BK1111" s="77"/>
      <c r="BL1111" s="77"/>
      <c r="BM1111" s="77"/>
      <c r="BN1111" s="158"/>
      <c r="BO1111" s="158"/>
    </row>
    <row r="1112" spans="1:67" ht="15" x14ac:dyDescent="0.25">
      <c r="A1112" s="71"/>
      <c r="B1112" s="11"/>
      <c r="C1112" s="11"/>
      <c r="D1112" s="11"/>
      <c r="E1112" s="11"/>
      <c r="F1112" s="11"/>
      <c r="G1112" s="11"/>
      <c r="H1112" s="11"/>
      <c r="I1112" s="11"/>
      <c r="J1112" s="249"/>
      <c r="K1112" s="73"/>
      <c r="L1112" s="75"/>
      <c r="M1112" s="73"/>
      <c r="N1112" s="74"/>
      <c r="O1112" s="75"/>
      <c r="P1112" s="73"/>
      <c r="Q1112" s="76"/>
      <c r="R1112" s="76"/>
      <c r="S1112" s="76"/>
      <c r="T1112" s="76"/>
      <c r="U1112" s="76"/>
      <c r="V1112" s="76"/>
      <c r="W1112" s="76"/>
      <c r="X1112" s="76"/>
      <c r="Y1112" s="76"/>
      <c r="Z1112" s="77"/>
      <c r="AA1112" s="77"/>
      <c r="AB1112" s="77"/>
      <c r="AC1112" s="77"/>
      <c r="AD1112" s="77"/>
      <c r="AE1112" s="77"/>
      <c r="AF1112" s="77"/>
      <c r="AG1112" s="77"/>
      <c r="AH1112" s="78"/>
      <c r="AI1112" s="78"/>
      <c r="AJ1112" s="78"/>
      <c r="AK1112" s="78"/>
      <c r="AL1112" s="78"/>
      <c r="AM1112" s="78"/>
      <c r="AN1112" s="76"/>
      <c r="AO1112" s="76"/>
      <c r="AP1112" s="76"/>
      <c r="AQ1112" s="76"/>
      <c r="AR1112" s="76"/>
      <c r="AS1112" s="76"/>
      <c r="AT1112" s="76"/>
      <c r="AU1112" s="76"/>
      <c r="AV1112" s="76"/>
      <c r="AW1112" s="79"/>
      <c r="AX1112" s="79"/>
      <c r="AY1112" s="79"/>
      <c r="AZ1112" s="79"/>
      <c r="BA1112" s="79"/>
      <c r="BB1112" s="11"/>
      <c r="BC1112" s="11"/>
      <c r="BD1112" s="11"/>
      <c r="BE1112" s="73"/>
      <c r="BF1112" s="73"/>
      <c r="BG1112" s="73"/>
      <c r="BH1112" s="77"/>
      <c r="BI1112" s="77"/>
      <c r="BJ1112" s="77"/>
      <c r="BK1112" s="77"/>
      <c r="BL1112" s="77"/>
      <c r="BM1112" s="77"/>
      <c r="BN1112" s="158"/>
      <c r="BO1112" s="158"/>
    </row>
    <row r="1113" spans="1:67" ht="15" x14ac:dyDescent="0.25">
      <c r="A1113" s="71"/>
      <c r="B1113" s="11"/>
      <c r="C1113" s="11"/>
      <c r="D1113" s="11"/>
      <c r="E1113" s="11"/>
      <c r="F1113" s="11"/>
      <c r="G1113" s="11"/>
      <c r="H1113" s="11"/>
      <c r="I1113" s="11"/>
      <c r="J1113" s="249"/>
      <c r="K1113" s="73"/>
      <c r="L1113" s="75"/>
      <c r="M1113" s="73"/>
      <c r="N1113" s="74"/>
      <c r="O1113" s="75"/>
      <c r="P1113" s="73"/>
      <c r="Q1113" s="76"/>
      <c r="R1113" s="76"/>
      <c r="S1113" s="76"/>
      <c r="T1113" s="76"/>
      <c r="U1113" s="76"/>
      <c r="V1113" s="76"/>
      <c r="W1113" s="76"/>
      <c r="X1113" s="76"/>
      <c r="Y1113" s="76"/>
      <c r="Z1113" s="77"/>
      <c r="AA1113" s="77"/>
      <c r="AB1113" s="77"/>
      <c r="AC1113" s="77"/>
      <c r="AD1113" s="77"/>
      <c r="AE1113" s="77"/>
      <c r="AF1113" s="77"/>
      <c r="AG1113" s="77"/>
      <c r="AH1113" s="78"/>
      <c r="AI1113" s="78"/>
      <c r="AJ1113" s="78"/>
      <c r="AK1113" s="78"/>
      <c r="AL1113" s="78"/>
      <c r="AM1113" s="78"/>
      <c r="AN1113" s="76"/>
      <c r="AO1113" s="76"/>
      <c r="AP1113" s="76"/>
      <c r="AQ1113" s="76"/>
      <c r="AR1113" s="76"/>
      <c r="AS1113" s="76"/>
      <c r="AT1113" s="76"/>
      <c r="AU1113" s="76"/>
      <c r="AV1113" s="76"/>
      <c r="AW1113" s="79"/>
      <c r="AX1113" s="79"/>
      <c r="AY1113" s="79"/>
      <c r="AZ1113" s="79"/>
      <c r="BA1113" s="79"/>
      <c r="BB1113" s="11"/>
      <c r="BC1113" s="11"/>
      <c r="BD1113" s="11"/>
      <c r="BE1113" s="73"/>
      <c r="BF1113" s="73"/>
      <c r="BG1113" s="73"/>
      <c r="BH1113" s="77"/>
      <c r="BI1113" s="77"/>
      <c r="BJ1113" s="77"/>
      <c r="BK1113" s="77"/>
      <c r="BL1113" s="77"/>
      <c r="BM1113" s="77"/>
      <c r="BN1113" s="158"/>
      <c r="BO1113" s="158"/>
    </row>
    <row r="1114" spans="1:67" ht="15" x14ac:dyDescent="0.25">
      <c r="A1114" s="71"/>
      <c r="B1114" s="11"/>
      <c r="C1114" s="11"/>
      <c r="D1114" s="11"/>
      <c r="E1114" s="11"/>
      <c r="F1114" s="11"/>
      <c r="G1114" s="11"/>
      <c r="H1114" s="11"/>
      <c r="I1114" s="11"/>
      <c r="J1114" s="249"/>
      <c r="K1114" s="73"/>
      <c r="L1114" s="75"/>
      <c r="M1114" s="73"/>
      <c r="N1114" s="74"/>
      <c r="O1114" s="75"/>
      <c r="P1114" s="73"/>
      <c r="Q1114" s="76"/>
      <c r="R1114" s="76"/>
      <c r="S1114" s="76"/>
      <c r="T1114" s="76"/>
      <c r="U1114" s="76"/>
      <c r="V1114" s="76"/>
      <c r="W1114" s="76"/>
      <c r="X1114" s="76"/>
      <c r="Y1114" s="76"/>
      <c r="Z1114" s="77"/>
      <c r="AA1114" s="77"/>
      <c r="AB1114" s="77"/>
      <c r="AC1114" s="77"/>
      <c r="AD1114" s="77"/>
      <c r="AE1114" s="77"/>
      <c r="AF1114" s="77"/>
      <c r="AG1114" s="77"/>
      <c r="AH1114" s="78"/>
      <c r="AI1114" s="78"/>
      <c r="AJ1114" s="78"/>
      <c r="AK1114" s="78"/>
      <c r="AL1114" s="78"/>
      <c r="AM1114" s="78"/>
      <c r="AN1114" s="76"/>
      <c r="AO1114" s="76"/>
      <c r="AP1114" s="76"/>
      <c r="AQ1114" s="76"/>
      <c r="AR1114" s="76"/>
      <c r="AS1114" s="76"/>
      <c r="AT1114" s="76"/>
      <c r="AU1114" s="76"/>
      <c r="AV1114" s="76"/>
      <c r="AW1114" s="79"/>
      <c r="AX1114" s="79"/>
      <c r="AY1114" s="79"/>
      <c r="AZ1114" s="79"/>
      <c r="BA1114" s="79"/>
      <c r="BB1114" s="11"/>
      <c r="BC1114" s="11"/>
      <c r="BD1114" s="11"/>
      <c r="BE1114" s="73"/>
      <c r="BF1114" s="73"/>
      <c r="BG1114" s="73"/>
      <c r="BH1114" s="77"/>
      <c r="BI1114" s="77"/>
      <c r="BJ1114" s="77"/>
      <c r="BK1114" s="77"/>
      <c r="BL1114" s="77"/>
      <c r="BM1114" s="77"/>
      <c r="BN1114" s="158"/>
      <c r="BO1114" s="158"/>
    </row>
    <row r="1115" spans="1:67" ht="15" x14ac:dyDescent="0.25">
      <c r="A1115" s="71"/>
      <c r="B1115" s="11"/>
      <c r="C1115" s="11"/>
      <c r="D1115" s="11"/>
      <c r="E1115" s="11"/>
      <c r="F1115" s="11"/>
      <c r="G1115" s="11"/>
      <c r="H1115" s="11"/>
      <c r="I1115" s="11"/>
      <c r="J1115" s="249"/>
      <c r="K1115" s="73"/>
      <c r="L1115" s="75"/>
      <c r="M1115" s="73"/>
      <c r="N1115" s="74"/>
      <c r="O1115" s="75"/>
      <c r="P1115" s="73"/>
      <c r="Q1115" s="76"/>
      <c r="R1115" s="76"/>
      <c r="S1115" s="76"/>
      <c r="T1115" s="76"/>
      <c r="U1115" s="76"/>
      <c r="V1115" s="76"/>
      <c r="W1115" s="76"/>
      <c r="X1115" s="76"/>
      <c r="Y1115" s="76"/>
      <c r="Z1115" s="77"/>
      <c r="AA1115" s="77"/>
      <c r="AB1115" s="77"/>
      <c r="AC1115" s="77"/>
      <c r="AD1115" s="77"/>
      <c r="AE1115" s="77"/>
      <c r="AF1115" s="77"/>
      <c r="AG1115" s="77"/>
      <c r="AH1115" s="78"/>
      <c r="AI1115" s="78"/>
      <c r="AJ1115" s="78"/>
      <c r="AK1115" s="78"/>
      <c r="AL1115" s="78"/>
      <c r="AM1115" s="78"/>
      <c r="AN1115" s="76"/>
      <c r="AO1115" s="76"/>
      <c r="AP1115" s="76"/>
      <c r="AQ1115" s="76"/>
      <c r="AR1115" s="76"/>
      <c r="AS1115" s="76"/>
      <c r="AT1115" s="76"/>
      <c r="AU1115" s="76"/>
      <c r="AV1115" s="76"/>
      <c r="AW1115" s="79"/>
      <c r="AX1115" s="79"/>
      <c r="AY1115" s="79"/>
      <c r="AZ1115" s="79"/>
      <c r="BA1115" s="79"/>
      <c r="BB1115" s="11"/>
      <c r="BC1115" s="11"/>
      <c r="BD1115" s="11"/>
      <c r="BE1115" s="73"/>
      <c r="BF1115" s="73"/>
      <c r="BG1115" s="73"/>
      <c r="BH1115" s="77"/>
      <c r="BI1115" s="77"/>
      <c r="BJ1115" s="77"/>
      <c r="BK1115" s="77"/>
      <c r="BL1115" s="77"/>
      <c r="BM1115" s="77"/>
      <c r="BN1115" s="158"/>
      <c r="BO1115" s="158"/>
    </row>
    <row r="1116" spans="1:67" ht="15" x14ac:dyDescent="0.25">
      <c r="A1116" s="71"/>
      <c r="B1116" s="11"/>
      <c r="C1116" s="11"/>
      <c r="D1116" s="11"/>
      <c r="E1116" s="11"/>
      <c r="F1116" s="11"/>
      <c r="G1116" s="11"/>
      <c r="H1116" s="11"/>
      <c r="I1116" s="11"/>
      <c r="J1116" s="249"/>
      <c r="K1116" s="73"/>
      <c r="L1116" s="75"/>
      <c r="M1116" s="73"/>
      <c r="N1116" s="74"/>
      <c r="O1116" s="75"/>
      <c r="P1116" s="73"/>
      <c r="Q1116" s="76"/>
      <c r="R1116" s="76"/>
      <c r="S1116" s="76"/>
      <c r="T1116" s="76"/>
      <c r="U1116" s="76"/>
      <c r="V1116" s="76"/>
      <c r="W1116" s="76"/>
      <c r="X1116" s="76"/>
      <c r="Y1116" s="76"/>
      <c r="Z1116" s="77"/>
      <c r="AA1116" s="77"/>
      <c r="AB1116" s="77"/>
      <c r="AC1116" s="77"/>
      <c r="AD1116" s="77"/>
      <c r="AE1116" s="77"/>
      <c r="AF1116" s="77"/>
      <c r="AG1116" s="77"/>
      <c r="AH1116" s="78"/>
      <c r="AI1116" s="78"/>
      <c r="AJ1116" s="78"/>
      <c r="AK1116" s="78"/>
      <c r="AL1116" s="78"/>
      <c r="AM1116" s="78"/>
      <c r="AN1116" s="76"/>
      <c r="AO1116" s="76"/>
      <c r="AP1116" s="76"/>
      <c r="AQ1116" s="76"/>
      <c r="AR1116" s="76"/>
      <c r="AS1116" s="76"/>
      <c r="AT1116" s="76"/>
      <c r="AU1116" s="76"/>
      <c r="AV1116" s="76"/>
      <c r="AW1116" s="79"/>
      <c r="AX1116" s="79"/>
      <c r="AY1116" s="79"/>
      <c r="AZ1116" s="79"/>
      <c r="BA1116" s="79"/>
      <c r="BB1116" s="11"/>
      <c r="BC1116" s="11"/>
      <c r="BD1116" s="11"/>
      <c r="BE1116" s="73"/>
      <c r="BF1116" s="73"/>
      <c r="BG1116" s="73"/>
      <c r="BH1116" s="77"/>
      <c r="BI1116" s="77"/>
      <c r="BJ1116" s="77"/>
      <c r="BK1116" s="77"/>
      <c r="BL1116" s="77"/>
      <c r="BM1116" s="77"/>
      <c r="BN1116" s="158"/>
      <c r="BO1116" s="158"/>
    </row>
    <row r="1117" spans="1:67" ht="15" x14ac:dyDescent="0.25">
      <c r="A1117" s="71"/>
      <c r="B1117" s="11"/>
      <c r="C1117" s="11"/>
      <c r="D1117" s="11"/>
      <c r="E1117" s="11"/>
      <c r="F1117" s="11"/>
      <c r="G1117" s="11"/>
      <c r="H1117" s="11"/>
      <c r="I1117" s="11"/>
      <c r="J1117" s="249"/>
      <c r="K1117" s="73"/>
      <c r="L1117" s="75"/>
      <c r="M1117" s="73"/>
      <c r="N1117" s="74"/>
      <c r="O1117" s="75"/>
      <c r="P1117" s="73"/>
      <c r="Q1117" s="76"/>
      <c r="R1117" s="76"/>
      <c r="S1117" s="76"/>
      <c r="T1117" s="76"/>
      <c r="U1117" s="76"/>
      <c r="V1117" s="76"/>
      <c r="W1117" s="76"/>
      <c r="X1117" s="76"/>
      <c r="Y1117" s="76"/>
      <c r="Z1117" s="77"/>
      <c r="AA1117" s="77"/>
      <c r="AB1117" s="77"/>
      <c r="AC1117" s="77"/>
      <c r="AD1117" s="77"/>
      <c r="AE1117" s="77"/>
      <c r="AF1117" s="77"/>
      <c r="AG1117" s="77"/>
      <c r="AH1117" s="78"/>
      <c r="AI1117" s="78"/>
      <c r="AJ1117" s="78"/>
      <c r="AK1117" s="78"/>
      <c r="AL1117" s="78"/>
      <c r="AM1117" s="78"/>
      <c r="AN1117" s="76"/>
      <c r="AO1117" s="76"/>
      <c r="AP1117" s="76"/>
      <c r="AQ1117" s="76"/>
      <c r="AR1117" s="76"/>
      <c r="AS1117" s="76"/>
      <c r="AT1117" s="76"/>
      <c r="AU1117" s="76"/>
      <c r="AV1117" s="76"/>
      <c r="AW1117" s="79"/>
      <c r="AX1117" s="79"/>
      <c r="AY1117" s="79"/>
      <c r="AZ1117" s="79"/>
      <c r="BA1117" s="79"/>
      <c r="BB1117" s="11"/>
      <c r="BC1117" s="11"/>
      <c r="BD1117" s="11"/>
      <c r="BE1117" s="73"/>
      <c r="BF1117" s="73"/>
      <c r="BG1117" s="73"/>
      <c r="BH1117" s="77"/>
      <c r="BI1117" s="77"/>
      <c r="BJ1117" s="77"/>
      <c r="BK1117" s="77"/>
      <c r="BL1117" s="77"/>
      <c r="BM1117" s="77"/>
      <c r="BN1117" s="158"/>
      <c r="BO1117" s="158"/>
    </row>
    <row r="1118" spans="1:67" ht="15" x14ac:dyDescent="0.25">
      <c r="A1118" s="71"/>
      <c r="B1118" s="11"/>
      <c r="C1118" s="11"/>
      <c r="D1118" s="11"/>
      <c r="E1118" s="11"/>
      <c r="F1118" s="11"/>
      <c r="G1118" s="11"/>
      <c r="H1118" s="11"/>
      <c r="I1118" s="11"/>
      <c r="J1118" s="249"/>
      <c r="K1118" s="73"/>
      <c r="L1118" s="75"/>
      <c r="M1118" s="73"/>
      <c r="N1118" s="74"/>
      <c r="O1118" s="75"/>
      <c r="P1118" s="73"/>
      <c r="Q1118" s="76"/>
      <c r="R1118" s="76"/>
      <c r="S1118" s="76"/>
      <c r="T1118" s="76"/>
      <c r="U1118" s="76"/>
      <c r="V1118" s="76"/>
      <c r="W1118" s="76"/>
      <c r="X1118" s="76"/>
      <c r="Y1118" s="76"/>
      <c r="Z1118" s="77"/>
      <c r="AA1118" s="77"/>
      <c r="AB1118" s="77"/>
      <c r="AC1118" s="77"/>
      <c r="AD1118" s="77"/>
      <c r="AE1118" s="77"/>
      <c r="AF1118" s="77"/>
      <c r="AG1118" s="77"/>
      <c r="AH1118" s="78"/>
      <c r="AI1118" s="78"/>
      <c r="AJ1118" s="78"/>
      <c r="AK1118" s="78"/>
      <c r="AL1118" s="78"/>
      <c r="AM1118" s="78"/>
      <c r="AN1118" s="76"/>
      <c r="AO1118" s="76"/>
      <c r="AP1118" s="76"/>
      <c r="AQ1118" s="76"/>
      <c r="AR1118" s="76"/>
      <c r="AS1118" s="76"/>
      <c r="AT1118" s="76"/>
      <c r="AU1118" s="76"/>
      <c r="AV1118" s="76"/>
      <c r="AW1118" s="79"/>
      <c r="AX1118" s="79"/>
      <c r="AY1118" s="79"/>
      <c r="AZ1118" s="79"/>
      <c r="BA1118" s="79"/>
      <c r="BB1118" s="11"/>
      <c r="BC1118" s="11"/>
      <c r="BD1118" s="11"/>
      <c r="BE1118" s="73"/>
      <c r="BF1118" s="73"/>
      <c r="BG1118" s="73"/>
      <c r="BH1118" s="77"/>
      <c r="BI1118" s="77"/>
      <c r="BJ1118" s="77"/>
      <c r="BK1118" s="77"/>
      <c r="BL1118" s="77"/>
      <c r="BM1118" s="77"/>
      <c r="BN1118" s="158"/>
      <c r="BO1118" s="158"/>
    </row>
    <row r="1119" spans="1:67" ht="15" x14ac:dyDescent="0.25">
      <c r="A1119" s="71"/>
      <c r="B1119" s="11"/>
      <c r="C1119" s="11"/>
      <c r="D1119" s="11"/>
      <c r="E1119" s="11"/>
      <c r="F1119" s="11"/>
      <c r="G1119" s="11"/>
      <c r="H1119" s="11"/>
      <c r="I1119" s="11"/>
      <c r="J1119" s="249"/>
      <c r="K1119" s="73"/>
      <c r="L1119" s="75"/>
      <c r="M1119" s="73"/>
      <c r="N1119" s="74"/>
      <c r="O1119" s="75"/>
      <c r="P1119" s="73"/>
      <c r="Q1119" s="76"/>
      <c r="R1119" s="76"/>
      <c r="S1119" s="76"/>
      <c r="T1119" s="76"/>
      <c r="U1119" s="76"/>
      <c r="V1119" s="76"/>
      <c r="W1119" s="76"/>
      <c r="X1119" s="76"/>
      <c r="Y1119" s="76"/>
      <c r="Z1119" s="77"/>
      <c r="AA1119" s="77"/>
      <c r="AB1119" s="77"/>
      <c r="AC1119" s="77"/>
      <c r="AD1119" s="77"/>
      <c r="AE1119" s="77"/>
      <c r="AF1119" s="77"/>
      <c r="AG1119" s="77"/>
      <c r="AH1119" s="78"/>
      <c r="AI1119" s="78"/>
      <c r="AJ1119" s="78"/>
      <c r="AK1119" s="78"/>
      <c r="AL1119" s="78"/>
      <c r="AM1119" s="78"/>
      <c r="AN1119" s="76"/>
      <c r="AO1119" s="76"/>
      <c r="AP1119" s="76"/>
      <c r="AQ1119" s="76"/>
      <c r="AR1119" s="76"/>
      <c r="AS1119" s="76"/>
      <c r="AT1119" s="76"/>
      <c r="AU1119" s="76"/>
      <c r="AV1119" s="76"/>
      <c r="AW1119" s="79"/>
      <c r="AX1119" s="79"/>
      <c r="AY1119" s="79"/>
      <c r="AZ1119" s="79"/>
      <c r="BA1119" s="79"/>
      <c r="BB1119" s="11"/>
      <c r="BC1119" s="11"/>
      <c r="BD1119" s="11"/>
      <c r="BE1119" s="73"/>
      <c r="BF1119" s="73"/>
      <c r="BG1119" s="73"/>
      <c r="BH1119" s="77"/>
      <c r="BI1119" s="77"/>
      <c r="BJ1119" s="77"/>
      <c r="BK1119" s="77"/>
      <c r="BL1119" s="77"/>
      <c r="BM1119" s="77"/>
      <c r="BN1119" s="158"/>
      <c r="BO1119" s="158"/>
    </row>
    <row r="1120" spans="1:67" ht="15" x14ac:dyDescent="0.25">
      <c r="A1120" s="71"/>
      <c r="B1120" s="11"/>
      <c r="C1120" s="11"/>
      <c r="D1120" s="11"/>
      <c r="E1120" s="11"/>
      <c r="F1120" s="11"/>
      <c r="G1120" s="11"/>
      <c r="H1120" s="11"/>
      <c r="I1120" s="11"/>
      <c r="J1120" s="249"/>
      <c r="K1120" s="73"/>
      <c r="L1120" s="75"/>
      <c r="M1120" s="73"/>
      <c r="N1120" s="74"/>
      <c r="O1120" s="75"/>
      <c r="P1120" s="73"/>
      <c r="Q1120" s="76"/>
      <c r="R1120" s="76"/>
      <c r="S1120" s="76"/>
      <c r="T1120" s="76"/>
      <c r="U1120" s="76"/>
      <c r="V1120" s="76"/>
      <c r="W1120" s="76"/>
      <c r="X1120" s="76"/>
      <c r="Y1120" s="76"/>
      <c r="Z1120" s="77"/>
      <c r="AA1120" s="77"/>
      <c r="AB1120" s="77"/>
      <c r="AC1120" s="77"/>
      <c r="AD1120" s="77"/>
      <c r="AE1120" s="77"/>
      <c r="AF1120" s="77"/>
      <c r="AG1120" s="77"/>
      <c r="AH1120" s="78"/>
      <c r="AI1120" s="78"/>
      <c r="AJ1120" s="78"/>
      <c r="AK1120" s="78"/>
      <c r="AL1120" s="78"/>
      <c r="AM1120" s="78"/>
      <c r="AN1120" s="76"/>
      <c r="AO1120" s="76"/>
      <c r="AP1120" s="76"/>
      <c r="AQ1120" s="76"/>
      <c r="AR1120" s="76"/>
      <c r="AS1120" s="76"/>
      <c r="AT1120" s="76"/>
      <c r="AU1120" s="76"/>
      <c r="AV1120" s="76"/>
      <c r="AW1120" s="79"/>
      <c r="AX1120" s="79"/>
      <c r="AY1120" s="79"/>
      <c r="AZ1120" s="79"/>
      <c r="BA1120" s="79"/>
      <c r="BB1120" s="11"/>
      <c r="BC1120" s="11"/>
      <c r="BD1120" s="11"/>
      <c r="BE1120" s="73"/>
      <c r="BF1120" s="73"/>
      <c r="BG1120" s="73"/>
      <c r="BH1120" s="77"/>
      <c r="BI1120" s="77"/>
      <c r="BJ1120" s="77"/>
      <c r="BK1120" s="77"/>
      <c r="BL1120" s="77"/>
      <c r="BM1120" s="77"/>
      <c r="BN1120" s="158"/>
      <c r="BO1120" s="158"/>
    </row>
    <row r="1121" spans="1:67" ht="15" x14ac:dyDescent="0.25">
      <c r="A1121" s="71"/>
      <c r="B1121" s="11"/>
      <c r="C1121" s="11"/>
      <c r="D1121" s="11"/>
      <c r="E1121" s="11"/>
      <c r="F1121" s="11"/>
      <c r="G1121" s="11"/>
      <c r="H1121" s="11"/>
      <c r="I1121" s="11"/>
      <c r="J1121" s="249"/>
      <c r="K1121" s="73"/>
      <c r="L1121" s="75"/>
      <c r="M1121" s="73"/>
      <c r="N1121" s="74"/>
      <c r="O1121" s="75"/>
      <c r="P1121" s="73"/>
      <c r="Q1121" s="76"/>
      <c r="R1121" s="76"/>
      <c r="S1121" s="76"/>
      <c r="T1121" s="76"/>
      <c r="U1121" s="76"/>
      <c r="V1121" s="76"/>
      <c r="W1121" s="76"/>
      <c r="X1121" s="76"/>
      <c r="Y1121" s="76"/>
      <c r="Z1121" s="77"/>
      <c r="AA1121" s="77"/>
      <c r="AB1121" s="77"/>
      <c r="AC1121" s="77"/>
      <c r="AD1121" s="77"/>
      <c r="AE1121" s="77"/>
      <c r="AF1121" s="77"/>
      <c r="AG1121" s="77"/>
      <c r="AH1121" s="78"/>
      <c r="AI1121" s="78"/>
      <c r="AJ1121" s="78"/>
      <c r="AK1121" s="78"/>
      <c r="AL1121" s="78"/>
      <c r="AM1121" s="78"/>
      <c r="AN1121" s="76"/>
      <c r="AO1121" s="76"/>
      <c r="AP1121" s="76"/>
      <c r="AQ1121" s="76"/>
      <c r="AR1121" s="76"/>
      <c r="AS1121" s="76"/>
      <c r="AT1121" s="76"/>
      <c r="AU1121" s="76"/>
      <c r="AV1121" s="76"/>
      <c r="AW1121" s="79"/>
      <c r="AX1121" s="79"/>
      <c r="AY1121" s="79"/>
      <c r="AZ1121" s="79"/>
      <c r="BA1121" s="79"/>
      <c r="BB1121" s="11"/>
      <c r="BC1121" s="11"/>
      <c r="BD1121" s="11"/>
      <c r="BE1121" s="73"/>
      <c r="BF1121" s="73"/>
      <c r="BG1121" s="73"/>
      <c r="BH1121" s="77"/>
      <c r="BI1121" s="77"/>
      <c r="BJ1121" s="77"/>
      <c r="BK1121" s="77"/>
      <c r="BL1121" s="77"/>
      <c r="BM1121" s="77"/>
      <c r="BN1121" s="158"/>
      <c r="BO1121" s="158"/>
    </row>
    <row r="1122" spans="1:67" ht="15" x14ac:dyDescent="0.25">
      <c r="A1122" s="71"/>
      <c r="B1122" s="11"/>
      <c r="C1122" s="11"/>
      <c r="D1122" s="11"/>
      <c r="E1122" s="11"/>
      <c r="F1122" s="11"/>
      <c r="G1122" s="11"/>
      <c r="H1122" s="11"/>
      <c r="I1122" s="11"/>
      <c r="J1122" s="249"/>
      <c r="K1122" s="73"/>
      <c r="L1122" s="75"/>
      <c r="M1122" s="73"/>
      <c r="N1122" s="74"/>
      <c r="O1122" s="75"/>
      <c r="P1122" s="73"/>
      <c r="Q1122" s="76"/>
      <c r="R1122" s="76"/>
      <c r="S1122" s="76"/>
      <c r="T1122" s="76"/>
      <c r="U1122" s="76"/>
      <c r="V1122" s="76"/>
      <c r="W1122" s="76"/>
      <c r="X1122" s="76"/>
      <c r="Y1122" s="76"/>
      <c r="Z1122" s="77"/>
      <c r="AA1122" s="77"/>
      <c r="AB1122" s="77"/>
      <c r="AC1122" s="77"/>
      <c r="AD1122" s="77"/>
      <c r="AE1122" s="77"/>
      <c r="AF1122" s="77"/>
      <c r="AG1122" s="77"/>
      <c r="AH1122" s="78"/>
      <c r="AI1122" s="78"/>
      <c r="AJ1122" s="78"/>
      <c r="AK1122" s="78"/>
      <c r="AL1122" s="78"/>
      <c r="AM1122" s="78"/>
      <c r="AN1122" s="76"/>
      <c r="AO1122" s="76"/>
      <c r="AP1122" s="76"/>
      <c r="AQ1122" s="76"/>
      <c r="AR1122" s="76"/>
      <c r="AS1122" s="76"/>
      <c r="AT1122" s="76"/>
      <c r="AU1122" s="76"/>
      <c r="AV1122" s="76"/>
      <c r="AW1122" s="79"/>
      <c r="AX1122" s="79"/>
      <c r="AY1122" s="79"/>
      <c r="AZ1122" s="79"/>
      <c r="BA1122" s="79"/>
      <c r="BB1122" s="11"/>
      <c r="BC1122" s="11"/>
      <c r="BD1122" s="11"/>
      <c r="BE1122" s="73"/>
      <c r="BF1122" s="73"/>
      <c r="BG1122" s="73"/>
      <c r="BH1122" s="77"/>
      <c r="BI1122" s="77"/>
      <c r="BJ1122" s="77"/>
      <c r="BK1122" s="77"/>
      <c r="BL1122" s="77"/>
      <c r="BM1122" s="77"/>
      <c r="BN1122" s="158"/>
      <c r="BO1122" s="158"/>
    </row>
    <row r="1123" spans="1:67" ht="15" x14ac:dyDescent="0.25">
      <c r="A1123" s="71"/>
      <c r="B1123" s="11"/>
      <c r="C1123" s="11"/>
      <c r="D1123" s="11"/>
      <c r="E1123" s="11"/>
      <c r="F1123" s="11"/>
      <c r="G1123" s="11"/>
      <c r="H1123" s="11"/>
      <c r="I1123" s="11"/>
      <c r="J1123" s="249"/>
      <c r="K1123" s="73"/>
      <c r="L1123" s="75"/>
      <c r="M1123" s="73"/>
      <c r="N1123" s="74"/>
      <c r="O1123" s="75"/>
      <c r="P1123" s="73"/>
      <c r="Q1123" s="76"/>
      <c r="R1123" s="76"/>
      <c r="S1123" s="76"/>
      <c r="T1123" s="76"/>
      <c r="U1123" s="76"/>
      <c r="V1123" s="76"/>
      <c r="W1123" s="76"/>
      <c r="X1123" s="76"/>
      <c r="Y1123" s="76"/>
      <c r="Z1123" s="77"/>
      <c r="AA1123" s="77"/>
      <c r="AB1123" s="77"/>
      <c r="AC1123" s="77"/>
      <c r="AD1123" s="77"/>
      <c r="AE1123" s="77"/>
      <c r="AF1123" s="77"/>
      <c r="AG1123" s="77"/>
      <c r="AH1123" s="78"/>
      <c r="AI1123" s="78"/>
      <c r="AJ1123" s="78"/>
      <c r="AK1123" s="78"/>
      <c r="AL1123" s="78"/>
      <c r="AM1123" s="78"/>
      <c r="AN1123" s="76"/>
      <c r="AO1123" s="76"/>
      <c r="AP1123" s="76"/>
      <c r="AQ1123" s="76"/>
      <c r="AR1123" s="76"/>
      <c r="AS1123" s="76"/>
      <c r="AT1123" s="76"/>
      <c r="AU1123" s="76"/>
      <c r="AV1123" s="76"/>
      <c r="AW1123" s="79"/>
      <c r="AX1123" s="79"/>
      <c r="AY1123" s="79"/>
      <c r="AZ1123" s="79"/>
      <c r="BA1123" s="79"/>
      <c r="BB1123" s="11"/>
      <c r="BC1123" s="11"/>
      <c r="BD1123" s="11"/>
      <c r="BE1123" s="73"/>
      <c r="BF1123" s="73"/>
      <c r="BG1123" s="73"/>
      <c r="BH1123" s="77"/>
      <c r="BI1123" s="77"/>
      <c r="BJ1123" s="77"/>
      <c r="BK1123" s="77"/>
      <c r="BL1123" s="77"/>
      <c r="BM1123" s="77"/>
      <c r="BN1123" s="158"/>
      <c r="BO1123" s="158"/>
    </row>
    <row r="1124" spans="1:67" ht="15" x14ac:dyDescent="0.25">
      <c r="A1124" s="71"/>
      <c r="B1124" s="11"/>
      <c r="C1124" s="11"/>
      <c r="D1124" s="11"/>
      <c r="E1124" s="11"/>
      <c r="F1124" s="11"/>
      <c r="G1124" s="11"/>
      <c r="H1124" s="11"/>
      <c r="I1124" s="11"/>
      <c r="J1124" s="249"/>
      <c r="K1124" s="73"/>
      <c r="L1124" s="75"/>
      <c r="M1124" s="73"/>
      <c r="N1124" s="74"/>
      <c r="O1124" s="75"/>
      <c r="P1124" s="73"/>
      <c r="Q1124" s="76"/>
      <c r="R1124" s="76"/>
      <c r="S1124" s="76"/>
      <c r="T1124" s="76"/>
      <c r="U1124" s="76"/>
      <c r="V1124" s="76"/>
      <c r="W1124" s="76"/>
      <c r="X1124" s="76"/>
      <c r="Y1124" s="76"/>
      <c r="Z1124" s="77"/>
      <c r="AA1124" s="77"/>
      <c r="AB1124" s="77"/>
      <c r="AC1124" s="77"/>
      <c r="AD1124" s="77"/>
      <c r="AE1124" s="77"/>
      <c r="AF1124" s="77"/>
      <c r="AG1124" s="77"/>
      <c r="AH1124" s="78"/>
      <c r="AI1124" s="78"/>
      <c r="AJ1124" s="78"/>
      <c r="AK1124" s="78"/>
      <c r="AL1124" s="78"/>
      <c r="AM1124" s="78"/>
      <c r="AN1124" s="76"/>
      <c r="AO1124" s="76"/>
      <c r="AP1124" s="76"/>
      <c r="AQ1124" s="76"/>
      <c r="AR1124" s="76"/>
      <c r="AS1124" s="76"/>
      <c r="AT1124" s="76"/>
      <c r="AU1124" s="76"/>
      <c r="AV1124" s="76"/>
      <c r="AW1124" s="79"/>
      <c r="AX1124" s="79"/>
      <c r="AY1124" s="79"/>
      <c r="AZ1124" s="79"/>
      <c r="BA1124" s="79"/>
      <c r="BB1124" s="11"/>
      <c r="BC1124" s="11"/>
      <c r="BD1124" s="11"/>
      <c r="BE1124" s="73"/>
      <c r="BF1124" s="73"/>
      <c r="BG1124" s="73"/>
      <c r="BH1124" s="77"/>
      <c r="BI1124" s="77"/>
      <c r="BJ1124" s="77"/>
      <c r="BK1124" s="77"/>
      <c r="BL1124" s="77"/>
      <c r="BM1124" s="77"/>
      <c r="BN1124" s="158"/>
      <c r="BO1124" s="158"/>
    </row>
    <row r="1125" spans="1:67" ht="15" x14ac:dyDescent="0.25">
      <c r="A1125" s="71"/>
      <c r="B1125" s="11"/>
      <c r="C1125" s="11"/>
      <c r="D1125" s="11"/>
      <c r="E1125" s="11"/>
      <c r="F1125" s="11"/>
      <c r="G1125" s="11"/>
      <c r="H1125" s="11"/>
      <c r="I1125" s="11"/>
      <c r="J1125" s="249"/>
      <c r="K1125" s="73"/>
      <c r="L1125" s="75"/>
      <c r="M1125" s="73"/>
      <c r="N1125" s="74"/>
      <c r="O1125" s="75"/>
      <c r="P1125" s="73"/>
      <c r="Q1125" s="76"/>
      <c r="R1125" s="76"/>
      <c r="S1125" s="76"/>
      <c r="T1125" s="76"/>
      <c r="U1125" s="76"/>
      <c r="V1125" s="76"/>
      <c r="W1125" s="76"/>
      <c r="X1125" s="76"/>
      <c r="Y1125" s="76"/>
      <c r="Z1125" s="77"/>
      <c r="AA1125" s="77"/>
      <c r="AB1125" s="77"/>
      <c r="AC1125" s="77"/>
      <c r="AD1125" s="77"/>
      <c r="AE1125" s="77"/>
      <c r="AF1125" s="77"/>
      <c r="AG1125" s="77"/>
      <c r="AH1125" s="78"/>
      <c r="AI1125" s="78"/>
      <c r="AJ1125" s="78"/>
      <c r="AK1125" s="78"/>
      <c r="AL1125" s="78"/>
      <c r="AM1125" s="78"/>
      <c r="AN1125" s="76"/>
      <c r="AO1125" s="76"/>
      <c r="AP1125" s="76"/>
      <c r="AQ1125" s="76"/>
      <c r="AR1125" s="76"/>
      <c r="AS1125" s="76"/>
      <c r="AT1125" s="76"/>
      <c r="AU1125" s="76"/>
      <c r="AV1125" s="76"/>
      <c r="AW1125" s="79"/>
      <c r="AX1125" s="79"/>
      <c r="AY1125" s="79"/>
      <c r="AZ1125" s="79"/>
      <c r="BA1125" s="79"/>
      <c r="BB1125" s="11"/>
      <c r="BC1125" s="11"/>
      <c r="BD1125" s="11"/>
      <c r="BE1125" s="73"/>
      <c r="BF1125" s="73"/>
      <c r="BG1125" s="73"/>
      <c r="BH1125" s="77"/>
      <c r="BI1125" s="77"/>
      <c r="BJ1125" s="77"/>
      <c r="BK1125" s="77"/>
      <c r="BL1125" s="77"/>
      <c r="BM1125" s="77"/>
      <c r="BN1125" s="158"/>
      <c r="BO1125" s="158"/>
    </row>
    <row r="1126" spans="1:67" ht="15" x14ac:dyDescent="0.25">
      <c r="A1126" s="71"/>
      <c r="B1126" s="11"/>
      <c r="C1126" s="11"/>
      <c r="D1126" s="11"/>
      <c r="E1126" s="11"/>
      <c r="F1126" s="11"/>
      <c r="G1126" s="11"/>
      <c r="H1126" s="11"/>
      <c r="I1126" s="11"/>
      <c r="J1126" s="249"/>
      <c r="K1126" s="73"/>
      <c r="L1126" s="75"/>
      <c r="M1126" s="73"/>
      <c r="N1126" s="74"/>
      <c r="O1126" s="75"/>
      <c r="P1126" s="73"/>
      <c r="Q1126" s="76"/>
      <c r="R1126" s="76"/>
      <c r="S1126" s="76"/>
      <c r="T1126" s="76"/>
      <c r="U1126" s="76"/>
      <c r="V1126" s="76"/>
      <c r="W1126" s="76"/>
      <c r="X1126" s="76"/>
      <c r="Y1126" s="76"/>
      <c r="Z1126" s="77"/>
      <c r="AA1126" s="77"/>
      <c r="AB1126" s="77"/>
      <c r="AC1126" s="77"/>
      <c r="AD1126" s="77"/>
      <c r="AE1126" s="77"/>
      <c r="AF1126" s="77"/>
      <c r="AG1126" s="77"/>
      <c r="AH1126" s="78"/>
      <c r="AI1126" s="78"/>
      <c r="AJ1126" s="78"/>
      <c r="AK1126" s="78"/>
      <c r="AL1126" s="78"/>
      <c r="AM1126" s="78"/>
      <c r="AN1126" s="76"/>
      <c r="AO1126" s="76"/>
      <c r="AP1126" s="76"/>
      <c r="AQ1126" s="76"/>
      <c r="AR1126" s="76"/>
      <c r="AS1126" s="76"/>
      <c r="AT1126" s="76"/>
      <c r="AU1126" s="76"/>
      <c r="AV1126" s="76"/>
      <c r="AW1126" s="79"/>
      <c r="AX1126" s="79"/>
      <c r="AY1126" s="79"/>
      <c r="AZ1126" s="79"/>
      <c r="BA1126" s="79"/>
      <c r="BB1126" s="11"/>
      <c r="BC1126" s="11"/>
      <c r="BD1126" s="11"/>
      <c r="BE1126" s="73"/>
      <c r="BF1126" s="73"/>
      <c r="BG1126" s="73"/>
      <c r="BH1126" s="77"/>
      <c r="BI1126" s="77"/>
      <c r="BJ1126" s="77"/>
      <c r="BK1126" s="77"/>
      <c r="BL1126" s="77"/>
      <c r="BM1126" s="77"/>
      <c r="BN1126" s="158"/>
      <c r="BO1126" s="158"/>
    </row>
    <row r="1127" spans="1:67" ht="15" x14ac:dyDescent="0.25">
      <c r="A1127" s="71"/>
      <c r="B1127" s="11"/>
      <c r="C1127" s="11"/>
      <c r="D1127" s="11"/>
      <c r="E1127" s="11"/>
      <c r="F1127" s="11"/>
      <c r="G1127" s="11"/>
      <c r="H1127" s="11"/>
      <c r="I1127" s="11"/>
      <c r="J1127" s="249"/>
      <c r="K1127" s="73"/>
      <c r="L1127" s="75"/>
      <c r="M1127" s="73"/>
      <c r="N1127" s="74"/>
      <c r="O1127" s="75"/>
      <c r="P1127" s="73"/>
      <c r="Q1127" s="76"/>
      <c r="R1127" s="76"/>
      <c r="S1127" s="76"/>
      <c r="T1127" s="76"/>
      <c r="U1127" s="76"/>
      <c r="V1127" s="76"/>
      <c r="W1127" s="76"/>
      <c r="X1127" s="76"/>
      <c r="Y1127" s="76"/>
      <c r="Z1127" s="77"/>
      <c r="AA1127" s="77"/>
      <c r="AB1127" s="77"/>
      <c r="AC1127" s="77"/>
      <c r="AD1127" s="77"/>
      <c r="AE1127" s="77"/>
      <c r="AF1127" s="77"/>
      <c r="AG1127" s="77"/>
      <c r="AH1127" s="78"/>
      <c r="AI1127" s="78"/>
      <c r="AJ1127" s="78"/>
      <c r="AK1127" s="78"/>
      <c r="AL1127" s="78"/>
      <c r="AM1127" s="78"/>
      <c r="AN1127" s="76"/>
      <c r="AO1127" s="76"/>
      <c r="AP1127" s="76"/>
      <c r="AQ1127" s="76"/>
      <c r="AR1127" s="76"/>
      <c r="AS1127" s="76"/>
      <c r="AT1127" s="76"/>
      <c r="AU1127" s="76"/>
      <c r="AV1127" s="76"/>
      <c r="AW1127" s="79"/>
      <c r="AX1127" s="79"/>
      <c r="AY1127" s="79"/>
      <c r="AZ1127" s="79"/>
      <c r="BA1127" s="79"/>
      <c r="BB1127" s="11"/>
      <c r="BC1127" s="11"/>
      <c r="BD1127" s="11"/>
      <c r="BE1127" s="73"/>
      <c r="BF1127" s="73"/>
      <c r="BG1127" s="73"/>
      <c r="BH1127" s="77"/>
      <c r="BI1127" s="77"/>
      <c r="BJ1127" s="77"/>
      <c r="BK1127" s="77"/>
      <c r="BL1127" s="77"/>
      <c r="BM1127" s="77"/>
      <c r="BN1127" s="158"/>
      <c r="BO1127" s="158"/>
    </row>
    <row r="1128" spans="1:67" ht="15" x14ac:dyDescent="0.25">
      <c r="A1128" s="71"/>
      <c r="B1128" s="11"/>
      <c r="C1128" s="11"/>
      <c r="D1128" s="11"/>
      <c r="E1128" s="11"/>
      <c r="F1128" s="11"/>
      <c r="G1128" s="11"/>
      <c r="H1128" s="11"/>
      <c r="I1128" s="11"/>
      <c r="J1128" s="249"/>
      <c r="K1128" s="73"/>
      <c r="L1128" s="75"/>
      <c r="M1128" s="73"/>
      <c r="N1128" s="74"/>
      <c r="O1128" s="75"/>
      <c r="P1128" s="73"/>
      <c r="Q1128" s="76"/>
      <c r="R1128" s="76"/>
      <c r="S1128" s="76"/>
      <c r="T1128" s="76"/>
      <c r="U1128" s="76"/>
      <c r="V1128" s="76"/>
      <c r="W1128" s="76"/>
      <c r="X1128" s="76"/>
      <c r="Y1128" s="76"/>
      <c r="Z1128" s="77"/>
      <c r="AA1128" s="77"/>
      <c r="AB1128" s="77"/>
      <c r="AC1128" s="77"/>
      <c r="AD1128" s="77"/>
      <c r="AE1128" s="77"/>
      <c r="AF1128" s="77"/>
      <c r="AG1128" s="77"/>
      <c r="AH1128" s="78"/>
      <c r="AI1128" s="78"/>
      <c r="AJ1128" s="78"/>
      <c r="AK1128" s="78"/>
      <c r="AL1128" s="78"/>
      <c r="AM1128" s="78"/>
      <c r="AN1128" s="76"/>
      <c r="AO1128" s="76"/>
      <c r="AP1128" s="76"/>
      <c r="AQ1128" s="76"/>
      <c r="AR1128" s="76"/>
      <c r="AS1128" s="76"/>
      <c r="AT1128" s="76"/>
      <c r="AU1128" s="76"/>
      <c r="AV1128" s="76"/>
      <c r="AW1128" s="79"/>
      <c r="AX1128" s="79"/>
      <c r="AY1128" s="79"/>
      <c r="AZ1128" s="79"/>
      <c r="BA1128" s="79"/>
      <c r="BB1128" s="11"/>
      <c r="BC1128" s="11"/>
      <c r="BD1128" s="11"/>
      <c r="BE1128" s="73"/>
      <c r="BF1128" s="73"/>
      <c r="BG1128" s="73"/>
      <c r="BH1128" s="77"/>
      <c r="BI1128" s="77"/>
      <c r="BJ1128" s="77"/>
      <c r="BK1128" s="77"/>
      <c r="BL1128" s="77"/>
      <c r="BM1128" s="77"/>
      <c r="BN1128" s="158"/>
      <c r="BO1128" s="158"/>
    </row>
    <row r="1129" spans="1:67" ht="15" x14ac:dyDescent="0.25">
      <c r="A1129" s="71"/>
      <c r="B1129" s="11"/>
      <c r="C1129" s="11"/>
      <c r="D1129" s="11"/>
      <c r="E1129" s="11"/>
      <c r="F1129" s="11"/>
      <c r="G1129" s="11"/>
      <c r="H1129" s="11"/>
      <c r="I1129" s="11"/>
      <c r="J1129" s="249"/>
      <c r="K1129" s="73"/>
      <c r="L1129" s="75"/>
      <c r="M1129" s="73"/>
      <c r="N1129" s="74"/>
      <c r="O1129" s="75"/>
      <c r="P1129" s="73"/>
      <c r="Q1129" s="76"/>
      <c r="R1129" s="76"/>
      <c r="S1129" s="76"/>
      <c r="T1129" s="76"/>
      <c r="U1129" s="76"/>
      <c r="V1129" s="76"/>
      <c r="W1129" s="76"/>
      <c r="X1129" s="76"/>
      <c r="Y1129" s="76"/>
      <c r="Z1129" s="77"/>
      <c r="AA1129" s="77"/>
      <c r="AB1129" s="77"/>
      <c r="AC1129" s="77"/>
      <c r="AD1129" s="77"/>
      <c r="AE1129" s="77"/>
      <c r="AF1129" s="77"/>
      <c r="AG1129" s="77"/>
      <c r="AH1129" s="78"/>
      <c r="AI1129" s="78"/>
      <c r="AJ1129" s="78"/>
      <c r="AK1129" s="78"/>
      <c r="AL1129" s="78"/>
      <c r="AM1129" s="78"/>
      <c r="AN1129" s="76"/>
      <c r="AO1129" s="76"/>
      <c r="AP1129" s="76"/>
      <c r="AQ1129" s="76"/>
      <c r="AR1129" s="76"/>
      <c r="AS1129" s="76"/>
      <c r="AT1129" s="76"/>
      <c r="AU1129" s="76"/>
      <c r="AV1129" s="76"/>
      <c r="AW1129" s="79"/>
      <c r="AX1129" s="79"/>
      <c r="AY1129" s="79"/>
      <c r="AZ1129" s="79"/>
      <c r="BA1129" s="79"/>
      <c r="BB1129" s="11"/>
      <c r="BC1129" s="11"/>
      <c r="BD1129" s="11"/>
      <c r="BE1129" s="73"/>
      <c r="BF1129" s="73"/>
      <c r="BG1129" s="73"/>
      <c r="BH1129" s="77"/>
      <c r="BI1129" s="77"/>
      <c r="BJ1129" s="77"/>
      <c r="BK1129" s="77"/>
      <c r="BL1129" s="77"/>
      <c r="BM1129" s="77"/>
      <c r="BN1129" s="158"/>
      <c r="BO1129" s="158"/>
    </row>
    <row r="1130" spans="1:67" ht="15" x14ac:dyDescent="0.25">
      <c r="A1130" s="71"/>
      <c r="B1130" s="11"/>
      <c r="C1130" s="11"/>
      <c r="D1130" s="11"/>
      <c r="E1130" s="11"/>
      <c r="F1130" s="11"/>
      <c r="G1130" s="11"/>
      <c r="H1130" s="11"/>
      <c r="I1130" s="11"/>
      <c r="J1130" s="249"/>
      <c r="K1130" s="73"/>
      <c r="L1130" s="75"/>
      <c r="M1130" s="73"/>
      <c r="N1130" s="74"/>
      <c r="O1130" s="75"/>
      <c r="P1130" s="73"/>
      <c r="Q1130" s="76"/>
      <c r="R1130" s="76"/>
      <c r="S1130" s="76"/>
      <c r="T1130" s="76"/>
      <c r="U1130" s="76"/>
      <c r="V1130" s="76"/>
      <c r="W1130" s="76"/>
      <c r="X1130" s="76"/>
      <c r="Y1130" s="76"/>
      <c r="Z1130" s="77"/>
      <c r="AA1130" s="77"/>
      <c r="AB1130" s="77"/>
      <c r="AC1130" s="77"/>
      <c r="AD1130" s="77"/>
      <c r="AE1130" s="77"/>
      <c r="AF1130" s="77"/>
      <c r="AG1130" s="77"/>
      <c r="AH1130" s="78"/>
      <c r="AI1130" s="78"/>
      <c r="AJ1130" s="78"/>
      <c r="AK1130" s="78"/>
      <c r="AL1130" s="78"/>
      <c r="AM1130" s="78"/>
      <c r="AN1130" s="76"/>
      <c r="AO1130" s="76"/>
      <c r="AP1130" s="76"/>
      <c r="AQ1130" s="76"/>
      <c r="AR1130" s="76"/>
      <c r="AS1130" s="76"/>
      <c r="AT1130" s="76"/>
      <c r="AU1130" s="76"/>
      <c r="AV1130" s="76"/>
      <c r="AW1130" s="79"/>
      <c r="AX1130" s="79"/>
      <c r="AY1130" s="79"/>
      <c r="AZ1130" s="79"/>
      <c r="BA1130" s="79"/>
      <c r="BB1130" s="11"/>
      <c r="BC1130" s="11"/>
      <c r="BD1130" s="11"/>
      <c r="BE1130" s="73"/>
      <c r="BF1130" s="73"/>
      <c r="BG1130" s="73"/>
      <c r="BH1130" s="77"/>
      <c r="BI1130" s="77"/>
      <c r="BJ1130" s="77"/>
      <c r="BK1130" s="77"/>
      <c r="BL1130" s="77"/>
      <c r="BM1130" s="77"/>
      <c r="BN1130" s="158"/>
      <c r="BO1130" s="158"/>
    </row>
    <row r="1131" spans="1:67" ht="15" x14ac:dyDescent="0.25">
      <c r="A1131" s="71"/>
      <c r="B1131" s="11"/>
      <c r="C1131" s="11"/>
      <c r="D1131" s="11"/>
      <c r="E1131" s="11"/>
      <c r="F1131" s="11"/>
      <c r="G1131" s="11"/>
      <c r="H1131" s="11"/>
      <c r="I1131" s="11"/>
      <c r="J1131" s="249"/>
      <c r="K1131" s="73"/>
      <c r="L1131" s="75"/>
      <c r="M1131" s="73"/>
      <c r="N1131" s="74"/>
      <c r="O1131" s="75"/>
      <c r="P1131" s="73"/>
      <c r="Q1131" s="76"/>
      <c r="R1131" s="76"/>
      <c r="S1131" s="76"/>
      <c r="T1131" s="76"/>
      <c r="U1131" s="76"/>
      <c r="V1131" s="76"/>
      <c r="W1131" s="76"/>
      <c r="X1131" s="76"/>
      <c r="Y1131" s="76"/>
      <c r="Z1131" s="77"/>
      <c r="AA1131" s="77"/>
      <c r="AB1131" s="77"/>
      <c r="AC1131" s="77"/>
      <c r="AD1131" s="77"/>
      <c r="AE1131" s="77"/>
      <c r="AF1131" s="77"/>
      <c r="AG1131" s="77"/>
      <c r="AH1131" s="78"/>
      <c r="AI1131" s="78"/>
      <c r="AJ1131" s="78"/>
      <c r="AK1131" s="78"/>
      <c r="AL1131" s="78"/>
      <c r="AM1131" s="78"/>
      <c r="AN1131" s="76"/>
      <c r="AO1131" s="76"/>
      <c r="AP1131" s="76"/>
      <c r="AQ1131" s="76"/>
      <c r="AR1131" s="76"/>
      <c r="AS1131" s="76"/>
      <c r="AT1131" s="76"/>
      <c r="AU1131" s="76"/>
      <c r="AV1131" s="76"/>
      <c r="AW1131" s="79"/>
      <c r="AX1131" s="79"/>
      <c r="AY1131" s="79"/>
      <c r="AZ1131" s="79"/>
      <c r="BA1131" s="79"/>
      <c r="BB1131" s="11"/>
      <c r="BC1131" s="11"/>
      <c r="BD1131" s="11"/>
      <c r="BE1131" s="73"/>
      <c r="BF1131" s="73"/>
      <c r="BG1131" s="73"/>
      <c r="BH1131" s="77"/>
      <c r="BI1131" s="77"/>
      <c r="BJ1131" s="77"/>
      <c r="BK1131" s="77"/>
      <c r="BL1131" s="77"/>
      <c r="BM1131" s="77"/>
      <c r="BN1131" s="158"/>
      <c r="BO1131" s="158"/>
    </row>
    <row r="1132" spans="1:67" ht="15" x14ac:dyDescent="0.25">
      <c r="A1132" s="71"/>
      <c r="B1132" s="11"/>
      <c r="C1132" s="11"/>
      <c r="D1132" s="11"/>
      <c r="E1132" s="11"/>
      <c r="F1132" s="11"/>
      <c r="G1132" s="11"/>
      <c r="H1132" s="11"/>
      <c r="I1132" s="11"/>
      <c r="J1132" s="249"/>
      <c r="K1132" s="73"/>
      <c r="L1132" s="75"/>
      <c r="M1132" s="73"/>
      <c r="N1132" s="74"/>
      <c r="O1132" s="75"/>
      <c r="P1132" s="73"/>
      <c r="Q1132" s="76"/>
      <c r="R1132" s="76"/>
      <c r="S1132" s="76"/>
      <c r="T1132" s="76"/>
      <c r="U1132" s="76"/>
      <c r="V1132" s="76"/>
      <c r="W1132" s="76"/>
      <c r="X1132" s="76"/>
      <c r="Y1132" s="76"/>
      <c r="Z1132" s="77"/>
      <c r="AA1132" s="77"/>
      <c r="AB1132" s="77"/>
      <c r="AC1132" s="77"/>
      <c r="AD1132" s="77"/>
      <c r="AE1132" s="77"/>
      <c r="AF1132" s="77"/>
      <c r="AG1132" s="77"/>
      <c r="AH1132" s="78"/>
      <c r="AI1132" s="78"/>
      <c r="AJ1132" s="78"/>
      <c r="AK1132" s="78"/>
      <c r="AL1132" s="78"/>
      <c r="AM1132" s="78"/>
      <c r="AN1132" s="76"/>
      <c r="AO1132" s="76"/>
      <c r="AP1132" s="76"/>
      <c r="AQ1132" s="76"/>
      <c r="AR1132" s="76"/>
      <c r="AS1132" s="76"/>
      <c r="AT1132" s="76"/>
      <c r="AU1132" s="76"/>
      <c r="AV1132" s="76"/>
      <c r="AW1132" s="79"/>
      <c r="AX1132" s="79"/>
      <c r="AY1132" s="79"/>
      <c r="AZ1132" s="79"/>
      <c r="BA1132" s="79"/>
      <c r="BB1132" s="11"/>
      <c r="BC1132" s="11"/>
      <c r="BD1132" s="11"/>
      <c r="BE1132" s="73"/>
      <c r="BF1132" s="73"/>
      <c r="BG1132" s="73"/>
      <c r="BH1132" s="77"/>
      <c r="BI1132" s="77"/>
      <c r="BJ1132" s="77"/>
      <c r="BK1132" s="77"/>
      <c r="BL1132" s="77"/>
      <c r="BM1132" s="77"/>
      <c r="BN1132" s="158"/>
      <c r="BO1132" s="158"/>
    </row>
    <row r="1133" spans="1:67" ht="15" x14ac:dyDescent="0.25">
      <c r="A1133" s="71"/>
      <c r="B1133" s="11"/>
      <c r="C1133" s="11"/>
      <c r="D1133" s="11"/>
      <c r="E1133" s="11"/>
      <c r="F1133" s="11"/>
      <c r="G1133" s="11"/>
      <c r="H1133" s="11"/>
      <c r="I1133" s="11"/>
      <c r="J1133" s="249"/>
      <c r="K1133" s="73"/>
      <c r="L1133" s="75"/>
      <c r="M1133" s="73"/>
      <c r="N1133" s="74"/>
      <c r="O1133" s="75"/>
      <c r="P1133" s="73"/>
      <c r="Q1133" s="76"/>
      <c r="R1133" s="76"/>
      <c r="S1133" s="76"/>
      <c r="T1133" s="76"/>
      <c r="U1133" s="76"/>
      <c r="V1133" s="76"/>
      <c r="W1133" s="76"/>
      <c r="X1133" s="76"/>
      <c r="Y1133" s="76"/>
      <c r="Z1133" s="77"/>
      <c r="AA1133" s="77"/>
      <c r="AB1133" s="77"/>
      <c r="AC1133" s="77"/>
      <c r="AD1133" s="77"/>
      <c r="AE1133" s="77"/>
      <c r="AF1133" s="77"/>
      <c r="AG1133" s="77"/>
      <c r="AH1133" s="78"/>
      <c r="AI1133" s="78"/>
      <c r="AJ1133" s="78"/>
      <c r="AK1133" s="78"/>
      <c r="AL1133" s="78"/>
      <c r="AM1133" s="78"/>
      <c r="AN1133" s="76"/>
      <c r="AO1133" s="76"/>
      <c r="AP1133" s="76"/>
      <c r="AQ1133" s="76"/>
      <c r="AR1133" s="76"/>
      <c r="AS1133" s="76"/>
      <c r="AT1133" s="76"/>
      <c r="AU1133" s="76"/>
      <c r="AV1133" s="76"/>
      <c r="AW1133" s="79"/>
      <c r="AX1133" s="79"/>
      <c r="AY1133" s="79"/>
      <c r="AZ1133" s="79"/>
      <c r="BA1133" s="79"/>
      <c r="BB1133" s="11"/>
      <c r="BC1133" s="11"/>
      <c r="BD1133" s="11"/>
      <c r="BE1133" s="73"/>
      <c r="BF1133" s="73"/>
      <c r="BG1133" s="73"/>
      <c r="BH1133" s="77"/>
      <c r="BI1133" s="77"/>
      <c r="BJ1133" s="77"/>
      <c r="BK1133" s="77"/>
      <c r="BL1133" s="77"/>
      <c r="BM1133" s="77"/>
      <c r="BN1133" s="158"/>
      <c r="BO1133" s="158"/>
    </row>
    <row r="1134" spans="1:67" ht="15" x14ac:dyDescent="0.25">
      <c r="A1134" s="71"/>
      <c r="B1134" s="11"/>
      <c r="C1134" s="11"/>
      <c r="D1134" s="11"/>
      <c r="E1134" s="11"/>
      <c r="F1134" s="11"/>
      <c r="G1134" s="11"/>
      <c r="H1134" s="11"/>
      <c r="I1134" s="11"/>
      <c r="J1134" s="249"/>
      <c r="K1134" s="73"/>
      <c r="L1134" s="75"/>
      <c r="M1134" s="73"/>
      <c r="N1134" s="74"/>
      <c r="O1134" s="75"/>
      <c r="P1134" s="73"/>
      <c r="Q1134" s="76"/>
      <c r="R1134" s="76"/>
      <c r="S1134" s="76"/>
      <c r="T1134" s="76"/>
      <c r="U1134" s="76"/>
      <c r="V1134" s="76"/>
      <c r="W1134" s="76"/>
      <c r="X1134" s="76"/>
      <c r="Y1134" s="76"/>
      <c r="Z1134" s="77"/>
      <c r="AA1134" s="77"/>
      <c r="AB1134" s="77"/>
      <c r="AC1134" s="77"/>
      <c r="AD1134" s="77"/>
      <c r="AE1134" s="77"/>
      <c r="AF1134" s="77"/>
      <c r="AG1134" s="77"/>
      <c r="AH1134" s="78"/>
      <c r="AI1134" s="78"/>
      <c r="AJ1134" s="78"/>
      <c r="AK1134" s="78"/>
      <c r="AL1134" s="78"/>
      <c r="AM1134" s="78"/>
      <c r="AN1134" s="76"/>
      <c r="AO1134" s="76"/>
      <c r="AP1134" s="76"/>
      <c r="AQ1134" s="76"/>
      <c r="AR1134" s="76"/>
      <c r="AS1134" s="76"/>
      <c r="AT1134" s="76"/>
      <c r="AU1134" s="76"/>
      <c r="AV1134" s="76"/>
      <c r="AW1134" s="79"/>
      <c r="AX1134" s="79"/>
      <c r="AY1134" s="79"/>
      <c r="AZ1134" s="79"/>
      <c r="BA1134" s="79"/>
      <c r="BB1134" s="11"/>
      <c r="BC1134" s="11"/>
      <c r="BD1134" s="11"/>
      <c r="BE1134" s="73"/>
      <c r="BF1134" s="73"/>
      <c r="BG1134" s="73"/>
      <c r="BH1134" s="77"/>
      <c r="BI1134" s="77"/>
      <c r="BJ1134" s="77"/>
      <c r="BK1134" s="77"/>
      <c r="BL1134" s="77"/>
      <c r="BM1134" s="77"/>
      <c r="BN1134" s="158"/>
      <c r="BO1134" s="158"/>
    </row>
    <row r="1135" spans="1:67" ht="15" x14ac:dyDescent="0.25">
      <c r="A1135" s="71"/>
      <c r="B1135" s="11"/>
      <c r="C1135" s="11"/>
      <c r="D1135" s="11"/>
      <c r="E1135" s="11"/>
      <c r="F1135" s="11"/>
      <c r="G1135" s="11"/>
      <c r="H1135" s="11"/>
      <c r="I1135" s="11"/>
      <c r="J1135" s="249"/>
      <c r="K1135" s="73"/>
      <c r="L1135" s="75"/>
      <c r="M1135" s="73"/>
      <c r="N1135" s="74"/>
      <c r="O1135" s="75"/>
      <c r="P1135" s="73"/>
      <c r="Q1135" s="76"/>
      <c r="R1135" s="76"/>
      <c r="S1135" s="76"/>
      <c r="T1135" s="76"/>
      <c r="U1135" s="76"/>
      <c r="V1135" s="76"/>
      <c r="W1135" s="76"/>
      <c r="X1135" s="76"/>
      <c r="Y1135" s="76"/>
      <c r="Z1135" s="77"/>
      <c r="AA1135" s="77"/>
      <c r="AB1135" s="77"/>
      <c r="AC1135" s="77"/>
      <c r="AD1135" s="77"/>
      <c r="AE1135" s="77"/>
      <c r="AF1135" s="77"/>
      <c r="AG1135" s="77"/>
      <c r="AH1135" s="78"/>
      <c r="AI1135" s="78"/>
      <c r="AJ1135" s="78"/>
      <c r="AK1135" s="78"/>
      <c r="AL1135" s="78"/>
      <c r="AM1135" s="78"/>
      <c r="AN1135" s="76"/>
      <c r="AO1135" s="76"/>
      <c r="AP1135" s="76"/>
      <c r="AQ1135" s="76"/>
      <c r="AR1135" s="76"/>
      <c r="AS1135" s="76"/>
      <c r="AT1135" s="76"/>
      <c r="AU1135" s="76"/>
      <c r="AV1135" s="76"/>
      <c r="AW1135" s="79"/>
      <c r="AX1135" s="79"/>
      <c r="AY1135" s="79"/>
      <c r="AZ1135" s="79"/>
      <c r="BA1135" s="79"/>
      <c r="BB1135" s="11"/>
      <c r="BC1135" s="11"/>
      <c r="BD1135" s="11"/>
      <c r="BE1135" s="73"/>
      <c r="BF1135" s="73"/>
      <c r="BG1135" s="73"/>
      <c r="BH1135" s="77"/>
      <c r="BI1135" s="77"/>
      <c r="BJ1135" s="77"/>
      <c r="BK1135" s="77"/>
      <c r="BL1135" s="77"/>
      <c r="BM1135" s="77"/>
      <c r="BN1135" s="158"/>
      <c r="BO1135" s="158"/>
    </row>
    <row r="1136" spans="1:67" ht="15" x14ac:dyDescent="0.25">
      <c r="A1136" s="71"/>
      <c r="B1136" s="11"/>
      <c r="C1136" s="11"/>
      <c r="D1136" s="11"/>
      <c r="E1136" s="11"/>
      <c r="F1136" s="11"/>
      <c r="G1136" s="11"/>
      <c r="H1136" s="11"/>
      <c r="I1136" s="11"/>
      <c r="J1136" s="249"/>
      <c r="K1136" s="73"/>
      <c r="L1136" s="75"/>
      <c r="M1136" s="73"/>
      <c r="N1136" s="74"/>
      <c r="O1136" s="75"/>
      <c r="P1136" s="73"/>
      <c r="Q1136" s="76"/>
      <c r="R1136" s="76"/>
      <c r="S1136" s="76"/>
      <c r="T1136" s="76"/>
      <c r="U1136" s="76"/>
      <c r="V1136" s="76"/>
      <c r="W1136" s="76"/>
      <c r="X1136" s="76"/>
      <c r="Y1136" s="76"/>
      <c r="Z1136" s="77"/>
      <c r="AA1136" s="77"/>
      <c r="AB1136" s="77"/>
      <c r="AC1136" s="77"/>
      <c r="AD1136" s="77"/>
      <c r="AE1136" s="77"/>
      <c r="AF1136" s="77"/>
      <c r="AG1136" s="77"/>
      <c r="AH1136" s="78"/>
      <c r="AI1136" s="78"/>
      <c r="AJ1136" s="78"/>
      <c r="AK1136" s="78"/>
      <c r="AL1136" s="78"/>
      <c r="AM1136" s="78"/>
      <c r="AN1136" s="76"/>
      <c r="AO1136" s="76"/>
      <c r="AP1136" s="76"/>
      <c r="AQ1136" s="76"/>
      <c r="AR1136" s="76"/>
      <c r="AS1136" s="76"/>
      <c r="AT1136" s="76"/>
      <c r="AU1136" s="76"/>
      <c r="AV1136" s="76"/>
      <c r="AW1136" s="79"/>
      <c r="AX1136" s="79"/>
      <c r="AY1136" s="79"/>
      <c r="AZ1136" s="79"/>
      <c r="BA1136" s="79"/>
      <c r="BB1136" s="11"/>
      <c r="BC1136" s="11"/>
      <c r="BD1136" s="11"/>
      <c r="BE1136" s="73"/>
      <c r="BF1136" s="73"/>
      <c r="BG1136" s="73"/>
      <c r="BH1136" s="77"/>
      <c r="BI1136" s="77"/>
      <c r="BJ1136" s="77"/>
      <c r="BK1136" s="77"/>
      <c r="BL1136" s="77"/>
      <c r="BM1136" s="77"/>
      <c r="BN1136" s="158"/>
      <c r="BO1136" s="158"/>
    </row>
    <row r="1137" spans="1:67" ht="15" x14ac:dyDescent="0.25">
      <c r="A1137" s="71"/>
      <c r="B1137" s="11"/>
      <c r="C1137" s="11"/>
      <c r="D1137" s="11"/>
      <c r="E1137" s="11"/>
      <c r="F1137" s="11"/>
      <c r="G1137" s="11"/>
      <c r="H1137" s="11"/>
      <c r="I1137" s="11"/>
      <c r="J1137" s="249"/>
      <c r="K1137" s="73"/>
      <c r="L1137" s="75"/>
      <c r="M1137" s="73"/>
      <c r="N1137" s="74"/>
      <c r="O1137" s="75"/>
      <c r="P1137" s="73"/>
      <c r="Q1137" s="76"/>
      <c r="R1137" s="76"/>
      <c r="S1137" s="76"/>
      <c r="T1137" s="76"/>
      <c r="U1137" s="76"/>
      <c r="V1137" s="76"/>
      <c r="W1137" s="76"/>
      <c r="X1137" s="76"/>
      <c r="Y1137" s="76"/>
      <c r="Z1137" s="77"/>
      <c r="AA1137" s="77"/>
      <c r="AB1137" s="77"/>
      <c r="AC1137" s="77"/>
      <c r="AD1137" s="77"/>
      <c r="AE1137" s="77"/>
      <c r="AF1137" s="77"/>
      <c r="AG1137" s="77"/>
      <c r="AH1137" s="78"/>
      <c r="AI1137" s="78"/>
      <c r="AJ1137" s="78"/>
      <c r="AK1137" s="78"/>
      <c r="AL1137" s="78"/>
      <c r="AM1137" s="78"/>
      <c r="AN1137" s="76"/>
      <c r="AO1137" s="76"/>
      <c r="AP1137" s="76"/>
      <c r="AQ1137" s="76"/>
      <c r="AR1137" s="76"/>
      <c r="AS1137" s="76"/>
      <c r="AT1137" s="76"/>
      <c r="AU1137" s="76"/>
      <c r="AV1137" s="76"/>
      <c r="AW1137" s="79"/>
      <c r="AX1137" s="79"/>
      <c r="AY1137" s="79"/>
      <c r="AZ1137" s="79"/>
      <c r="BA1137" s="79"/>
      <c r="BB1137" s="11"/>
      <c r="BC1137" s="11"/>
      <c r="BD1137" s="11"/>
      <c r="BE1137" s="73"/>
      <c r="BF1137" s="73"/>
      <c r="BG1137" s="73"/>
      <c r="BH1137" s="77"/>
      <c r="BI1137" s="77"/>
      <c r="BJ1137" s="77"/>
      <c r="BK1137" s="77"/>
      <c r="BL1137" s="77"/>
      <c r="BM1137" s="77"/>
      <c r="BN1137" s="158"/>
      <c r="BO1137" s="158"/>
    </row>
    <row r="1138" spans="1:67" ht="15" x14ac:dyDescent="0.25">
      <c r="A1138" s="71"/>
      <c r="B1138" s="11"/>
      <c r="C1138" s="11"/>
      <c r="D1138" s="11"/>
      <c r="E1138" s="11"/>
      <c r="F1138" s="11"/>
      <c r="G1138" s="11"/>
      <c r="H1138" s="11"/>
      <c r="I1138" s="11"/>
      <c r="J1138" s="249"/>
      <c r="K1138" s="73"/>
      <c r="L1138" s="75"/>
      <c r="M1138" s="73"/>
      <c r="N1138" s="74"/>
      <c r="O1138" s="75"/>
      <c r="P1138" s="73"/>
      <c r="Q1138" s="76"/>
      <c r="R1138" s="76"/>
      <c r="S1138" s="76"/>
      <c r="T1138" s="76"/>
      <c r="U1138" s="76"/>
      <c r="V1138" s="76"/>
      <c r="W1138" s="76"/>
      <c r="X1138" s="76"/>
      <c r="Y1138" s="76"/>
      <c r="Z1138" s="77"/>
      <c r="AA1138" s="77"/>
      <c r="AB1138" s="77"/>
      <c r="AC1138" s="77"/>
      <c r="AD1138" s="77"/>
      <c r="AE1138" s="77"/>
      <c r="AF1138" s="77"/>
      <c r="AG1138" s="77"/>
      <c r="AH1138" s="78"/>
      <c r="AI1138" s="78"/>
      <c r="AJ1138" s="78"/>
      <c r="AK1138" s="78"/>
      <c r="AL1138" s="78"/>
      <c r="AM1138" s="78"/>
      <c r="AN1138" s="76"/>
      <c r="AO1138" s="76"/>
      <c r="AP1138" s="76"/>
      <c r="AQ1138" s="76"/>
      <c r="AR1138" s="76"/>
      <c r="AS1138" s="76"/>
      <c r="AT1138" s="76"/>
      <c r="AU1138" s="76"/>
      <c r="AV1138" s="76"/>
      <c r="AW1138" s="79"/>
      <c r="AX1138" s="79"/>
      <c r="AY1138" s="79"/>
      <c r="AZ1138" s="79"/>
      <c r="BA1138" s="79"/>
      <c r="BB1138" s="11"/>
      <c r="BC1138" s="11"/>
      <c r="BD1138" s="11"/>
      <c r="BE1138" s="73"/>
      <c r="BF1138" s="73"/>
      <c r="BG1138" s="73"/>
      <c r="BH1138" s="77"/>
      <c r="BI1138" s="77"/>
      <c r="BJ1138" s="77"/>
      <c r="BK1138" s="77"/>
      <c r="BL1138" s="77"/>
      <c r="BM1138" s="77"/>
      <c r="BN1138" s="158"/>
      <c r="BO1138" s="158"/>
    </row>
    <row r="1139" spans="1:67" ht="15" x14ac:dyDescent="0.25">
      <c r="A1139" s="71"/>
      <c r="B1139" s="11"/>
      <c r="C1139" s="11"/>
      <c r="D1139" s="11"/>
      <c r="E1139" s="11"/>
      <c r="F1139" s="11"/>
      <c r="G1139" s="11"/>
      <c r="H1139" s="11"/>
      <c r="I1139" s="11"/>
      <c r="J1139" s="249"/>
      <c r="K1139" s="73"/>
      <c r="L1139" s="75"/>
      <c r="M1139" s="73"/>
      <c r="N1139" s="74"/>
      <c r="O1139" s="75"/>
      <c r="P1139" s="73"/>
      <c r="Q1139" s="76"/>
      <c r="R1139" s="76"/>
      <c r="S1139" s="76"/>
      <c r="T1139" s="76"/>
      <c r="U1139" s="76"/>
      <c r="V1139" s="76"/>
      <c r="W1139" s="76"/>
      <c r="X1139" s="76"/>
      <c r="Y1139" s="76"/>
      <c r="Z1139" s="77"/>
      <c r="AA1139" s="77"/>
      <c r="AB1139" s="77"/>
      <c r="AC1139" s="77"/>
      <c r="AD1139" s="77"/>
      <c r="AE1139" s="77"/>
      <c r="AF1139" s="77"/>
      <c r="AG1139" s="77"/>
      <c r="AH1139" s="78"/>
      <c r="AI1139" s="78"/>
      <c r="AJ1139" s="78"/>
      <c r="AK1139" s="78"/>
      <c r="AL1139" s="78"/>
      <c r="AM1139" s="78"/>
      <c r="AN1139" s="76"/>
      <c r="AO1139" s="76"/>
      <c r="AP1139" s="76"/>
      <c r="AQ1139" s="76"/>
      <c r="AR1139" s="76"/>
      <c r="AS1139" s="76"/>
      <c r="AT1139" s="76"/>
      <c r="AU1139" s="76"/>
      <c r="AV1139" s="76"/>
      <c r="AW1139" s="79"/>
      <c r="AX1139" s="79"/>
      <c r="AY1139" s="79"/>
      <c r="AZ1139" s="79"/>
      <c r="BA1139" s="79"/>
      <c r="BB1139" s="11"/>
      <c r="BC1139" s="11"/>
      <c r="BD1139" s="11"/>
      <c r="BE1139" s="73"/>
      <c r="BF1139" s="73"/>
      <c r="BG1139" s="73"/>
      <c r="BH1139" s="77"/>
      <c r="BI1139" s="77"/>
      <c r="BJ1139" s="77"/>
      <c r="BK1139" s="77"/>
      <c r="BL1139" s="77"/>
      <c r="BM1139" s="77"/>
      <c r="BN1139" s="158"/>
      <c r="BO1139" s="158"/>
    </row>
    <row r="1140" spans="1:67" ht="15" x14ac:dyDescent="0.25">
      <c r="A1140" s="71"/>
      <c r="B1140" s="11"/>
      <c r="C1140" s="11"/>
      <c r="D1140" s="11"/>
      <c r="E1140" s="11"/>
      <c r="F1140" s="11"/>
      <c r="G1140" s="11"/>
      <c r="H1140" s="11"/>
      <c r="I1140" s="11"/>
      <c r="J1140" s="249"/>
      <c r="K1140" s="73"/>
      <c r="L1140" s="75"/>
      <c r="M1140" s="73"/>
      <c r="N1140" s="74"/>
      <c r="O1140" s="75"/>
      <c r="P1140" s="73"/>
      <c r="Q1140" s="76"/>
      <c r="R1140" s="76"/>
      <c r="S1140" s="76"/>
      <c r="T1140" s="76"/>
      <c r="U1140" s="76"/>
      <c r="V1140" s="76"/>
      <c r="W1140" s="76"/>
      <c r="X1140" s="76"/>
      <c r="Y1140" s="76"/>
      <c r="Z1140" s="77"/>
      <c r="AA1140" s="77"/>
      <c r="AB1140" s="77"/>
      <c r="AC1140" s="77"/>
      <c r="AD1140" s="77"/>
      <c r="AE1140" s="77"/>
      <c r="AF1140" s="77"/>
      <c r="AG1140" s="77"/>
      <c r="AH1140" s="78"/>
      <c r="AI1140" s="78"/>
      <c r="AJ1140" s="78"/>
      <c r="AK1140" s="78"/>
      <c r="AL1140" s="78"/>
      <c r="AM1140" s="78"/>
      <c r="AN1140" s="76"/>
      <c r="AO1140" s="76"/>
      <c r="AP1140" s="76"/>
      <c r="AQ1140" s="76"/>
      <c r="AR1140" s="76"/>
      <c r="AS1140" s="76"/>
      <c r="AT1140" s="76"/>
      <c r="AU1140" s="76"/>
      <c r="AV1140" s="76"/>
      <c r="AW1140" s="79"/>
      <c r="AX1140" s="79"/>
      <c r="AY1140" s="79"/>
      <c r="AZ1140" s="79"/>
      <c r="BA1140" s="79"/>
      <c r="BB1140" s="11"/>
      <c r="BC1140" s="11"/>
      <c r="BD1140" s="11"/>
      <c r="BE1140" s="73"/>
      <c r="BF1140" s="73"/>
      <c r="BG1140" s="73"/>
      <c r="BH1140" s="77"/>
      <c r="BI1140" s="77"/>
      <c r="BJ1140" s="77"/>
      <c r="BK1140" s="77"/>
      <c r="BL1140" s="77"/>
      <c r="BM1140" s="77"/>
      <c r="BN1140" s="158"/>
      <c r="BO1140" s="158"/>
    </row>
    <row r="1141" spans="1:67" ht="15" x14ac:dyDescent="0.25">
      <c r="A1141" s="71"/>
      <c r="B1141" s="11"/>
      <c r="C1141" s="11"/>
      <c r="D1141" s="11"/>
      <c r="E1141" s="11"/>
      <c r="F1141" s="11"/>
      <c r="G1141" s="11"/>
      <c r="H1141" s="11"/>
      <c r="I1141" s="11"/>
      <c r="J1141" s="249"/>
      <c r="K1141" s="73"/>
      <c r="L1141" s="75"/>
      <c r="M1141" s="73"/>
      <c r="N1141" s="74"/>
      <c r="O1141" s="75"/>
      <c r="P1141" s="73"/>
      <c r="Q1141" s="76"/>
      <c r="R1141" s="76"/>
      <c r="S1141" s="76"/>
      <c r="T1141" s="76"/>
      <c r="U1141" s="76"/>
      <c r="V1141" s="76"/>
      <c r="W1141" s="76"/>
      <c r="X1141" s="76"/>
      <c r="Y1141" s="76"/>
      <c r="Z1141" s="77"/>
      <c r="AA1141" s="77"/>
      <c r="AB1141" s="77"/>
      <c r="AC1141" s="77"/>
      <c r="AD1141" s="77"/>
      <c r="AE1141" s="77"/>
      <c r="AF1141" s="77"/>
      <c r="AG1141" s="77"/>
      <c r="AH1141" s="78"/>
      <c r="AI1141" s="78"/>
      <c r="AJ1141" s="78"/>
      <c r="AK1141" s="78"/>
      <c r="AL1141" s="78"/>
      <c r="AM1141" s="78"/>
      <c r="AN1141" s="76"/>
      <c r="AO1141" s="76"/>
      <c r="AP1141" s="76"/>
      <c r="AQ1141" s="76"/>
      <c r="AR1141" s="76"/>
      <c r="AS1141" s="76"/>
      <c r="AT1141" s="76"/>
      <c r="AU1141" s="76"/>
      <c r="AV1141" s="76"/>
      <c r="AW1141" s="79"/>
      <c r="AX1141" s="79"/>
      <c r="AY1141" s="79"/>
      <c r="AZ1141" s="79"/>
      <c r="BA1141" s="79"/>
      <c r="BB1141" s="11"/>
      <c r="BC1141" s="11"/>
      <c r="BD1141" s="11"/>
      <c r="BE1141" s="73"/>
      <c r="BF1141" s="73"/>
      <c r="BG1141" s="73"/>
      <c r="BH1141" s="77"/>
      <c r="BI1141" s="77"/>
      <c r="BJ1141" s="77"/>
      <c r="BK1141" s="77"/>
      <c r="BL1141" s="77"/>
      <c r="BM1141" s="77"/>
      <c r="BN1141" s="158"/>
      <c r="BO1141" s="158"/>
    </row>
    <row r="1142" spans="1:67" ht="15" x14ac:dyDescent="0.25">
      <c r="A1142" s="71"/>
      <c r="B1142" s="11"/>
      <c r="C1142" s="11"/>
      <c r="D1142" s="11"/>
      <c r="E1142" s="11"/>
      <c r="F1142" s="11"/>
      <c r="G1142" s="11"/>
      <c r="H1142" s="11"/>
      <c r="I1142" s="11"/>
      <c r="J1142" s="249"/>
      <c r="K1142" s="73"/>
      <c r="L1142" s="75"/>
      <c r="M1142" s="73"/>
      <c r="N1142" s="74"/>
      <c r="O1142" s="75"/>
      <c r="P1142" s="73"/>
      <c r="Q1142" s="76"/>
      <c r="R1142" s="76"/>
      <c r="S1142" s="76"/>
      <c r="T1142" s="76"/>
      <c r="U1142" s="76"/>
      <c r="V1142" s="76"/>
      <c r="W1142" s="76"/>
      <c r="X1142" s="76"/>
      <c r="Y1142" s="76"/>
      <c r="Z1142" s="77"/>
      <c r="AA1142" s="77"/>
      <c r="AB1142" s="77"/>
      <c r="AC1142" s="77"/>
      <c r="AD1142" s="77"/>
      <c r="AE1142" s="77"/>
      <c r="AF1142" s="77"/>
      <c r="AG1142" s="77"/>
      <c r="AH1142" s="78"/>
      <c r="AI1142" s="78"/>
      <c r="AJ1142" s="78"/>
      <c r="AK1142" s="78"/>
      <c r="AL1142" s="78"/>
      <c r="AM1142" s="78"/>
      <c r="AN1142" s="76"/>
      <c r="AO1142" s="76"/>
      <c r="AP1142" s="76"/>
      <c r="AQ1142" s="76"/>
      <c r="AR1142" s="76"/>
      <c r="AS1142" s="76"/>
      <c r="AT1142" s="76"/>
      <c r="AU1142" s="76"/>
      <c r="AV1142" s="76"/>
      <c r="AW1142" s="79"/>
      <c r="AX1142" s="79"/>
      <c r="AY1142" s="79"/>
      <c r="AZ1142" s="79"/>
      <c r="BA1142" s="79"/>
      <c r="BB1142" s="11"/>
      <c r="BC1142" s="11"/>
      <c r="BD1142" s="11"/>
      <c r="BE1142" s="73"/>
      <c r="BF1142" s="73"/>
      <c r="BG1142" s="73"/>
      <c r="BH1142" s="77"/>
      <c r="BI1142" s="77"/>
      <c r="BJ1142" s="77"/>
      <c r="BK1142" s="77"/>
      <c r="BL1142" s="77"/>
      <c r="BM1142" s="77"/>
      <c r="BN1142" s="158"/>
      <c r="BO1142" s="158"/>
    </row>
    <row r="1143" spans="1:67" ht="15" x14ac:dyDescent="0.25">
      <c r="A1143" s="71"/>
      <c r="B1143" s="11"/>
      <c r="C1143" s="11"/>
      <c r="D1143" s="11"/>
      <c r="E1143" s="11"/>
      <c r="F1143" s="11"/>
      <c r="G1143" s="11"/>
      <c r="H1143" s="11"/>
      <c r="I1143" s="11"/>
      <c r="J1143" s="249"/>
      <c r="K1143" s="73"/>
      <c r="L1143" s="75"/>
      <c r="M1143" s="73"/>
      <c r="N1143" s="74"/>
      <c r="O1143" s="75"/>
      <c r="P1143" s="73"/>
      <c r="Q1143" s="76"/>
      <c r="R1143" s="76"/>
      <c r="S1143" s="76"/>
      <c r="T1143" s="76"/>
      <c r="U1143" s="76"/>
      <c r="V1143" s="76"/>
      <c r="W1143" s="76"/>
      <c r="X1143" s="76"/>
      <c r="Y1143" s="76"/>
      <c r="Z1143" s="77"/>
      <c r="AA1143" s="77"/>
      <c r="AB1143" s="77"/>
      <c r="AC1143" s="77"/>
      <c r="AD1143" s="77"/>
      <c r="AE1143" s="77"/>
      <c r="AF1143" s="77"/>
      <c r="AG1143" s="77"/>
      <c r="AH1143" s="78"/>
      <c r="AI1143" s="78"/>
      <c r="AJ1143" s="78"/>
      <c r="AK1143" s="78"/>
      <c r="AL1143" s="78"/>
      <c r="AM1143" s="78"/>
      <c r="AN1143" s="76"/>
      <c r="AO1143" s="76"/>
      <c r="AP1143" s="76"/>
      <c r="AQ1143" s="76"/>
      <c r="AR1143" s="76"/>
      <c r="AS1143" s="76"/>
      <c r="AT1143" s="76"/>
      <c r="AU1143" s="76"/>
      <c r="AV1143" s="76"/>
      <c r="AW1143" s="79"/>
      <c r="AX1143" s="79"/>
      <c r="AY1143" s="79"/>
      <c r="AZ1143" s="79"/>
      <c r="BA1143" s="79"/>
      <c r="BB1143" s="11"/>
      <c r="BC1143" s="11"/>
      <c r="BD1143" s="11"/>
      <c r="BE1143" s="73"/>
      <c r="BF1143" s="73"/>
      <c r="BG1143" s="73"/>
      <c r="BH1143" s="77"/>
      <c r="BI1143" s="77"/>
      <c r="BJ1143" s="77"/>
      <c r="BK1143" s="77"/>
      <c r="BL1143" s="77"/>
      <c r="BM1143" s="77"/>
      <c r="BN1143" s="158"/>
      <c r="BO1143" s="158"/>
    </row>
    <row r="1144" spans="1:67" ht="15" x14ac:dyDescent="0.25">
      <c r="A1144" s="71"/>
      <c r="B1144" s="11"/>
      <c r="C1144" s="11"/>
      <c r="D1144" s="11"/>
      <c r="E1144" s="11"/>
      <c r="F1144" s="11"/>
      <c r="G1144" s="11"/>
      <c r="H1144" s="11"/>
      <c r="I1144" s="11"/>
      <c r="J1144" s="249"/>
      <c r="K1144" s="73"/>
      <c r="L1144" s="75"/>
      <c r="M1144" s="73"/>
      <c r="N1144" s="74"/>
      <c r="O1144" s="75"/>
      <c r="P1144" s="73"/>
      <c r="Q1144" s="76"/>
      <c r="R1144" s="76"/>
      <c r="S1144" s="76"/>
      <c r="T1144" s="76"/>
      <c r="U1144" s="76"/>
      <c r="V1144" s="76"/>
      <c r="W1144" s="76"/>
      <c r="X1144" s="76"/>
      <c r="Y1144" s="76"/>
      <c r="Z1144" s="77"/>
      <c r="AA1144" s="77"/>
      <c r="AB1144" s="77"/>
      <c r="AC1144" s="77"/>
      <c r="AD1144" s="77"/>
      <c r="AE1144" s="77"/>
      <c r="AF1144" s="77"/>
      <c r="AG1144" s="77"/>
      <c r="AH1144" s="78"/>
      <c r="AI1144" s="78"/>
      <c r="AJ1144" s="78"/>
      <c r="AK1144" s="78"/>
      <c r="AL1144" s="78"/>
      <c r="AM1144" s="78"/>
      <c r="AN1144" s="76"/>
      <c r="AO1144" s="76"/>
      <c r="AP1144" s="76"/>
      <c r="AQ1144" s="76"/>
      <c r="AR1144" s="76"/>
      <c r="AS1144" s="76"/>
      <c r="AT1144" s="76"/>
      <c r="AU1144" s="76"/>
      <c r="AV1144" s="76"/>
      <c r="AW1144" s="79"/>
      <c r="AX1144" s="79"/>
      <c r="AY1144" s="79"/>
      <c r="AZ1144" s="79"/>
      <c r="BA1144" s="79"/>
      <c r="BB1144" s="11"/>
      <c r="BC1144" s="11"/>
      <c r="BD1144" s="11"/>
      <c r="BE1144" s="73"/>
      <c r="BF1144" s="73"/>
      <c r="BG1144" s="73"/>
      <c r="BH1144" s="77"/>
      <c r="BI1144" s="77"/>
      <c r="BJ1144" s="77"/>
      <c r="BK1144" s="77"/>
      <c r="BL1144" s="77"/>
      <c r="BM1144" s="77"/>
      <c r="BN1144" s="158"/>
      <c r="BO1144" s="158"/>
    </row>
    <row r="1145" spans="1:67" ht="15" x14ac:dyDescent="0.25">
      <c r="A1145" s="71"/>
      <c r="B1145" s="11"/>
      <c r="C1145" s="11"/>
      <c r="D1145" s="11"/>
      <c r="E1145" s="11"/>
      <c r="F1145" s="11"/>
      <c r="G1145" s="11"/>
      <c r="H1145" s="11"/>
      <c r="I1145" s="11"/>
      <c r="J1145" s="249"/>
      <c r="K1145" s="73"/>
      <c r="L1145" s="75"/>
      <c r="M1145" s="73"/>
      <c r="N1145" s="74"/>
      <c r="O1145" s="75"/>
      <c r="P1145" s="73"/>
      <c r="Q1145" s="76"/>
      <c r="R1145" s="76"/>
      <c r="S1145" s="76"/>
      <c r="T1145" s="76"/>
      <c r="U1145" s="76"/>
      <c r="V1145" s="76"/>
      <c r="W1145" s="76"/>
      <c r="X1145" s="76"/>
      <c r="Y1145" s="76"/>
      <c r="Z1145" s="77"/>
      <c r="AA1145" s="77"/>
      <c r="AB1145" s="77"/>
      <c r="AC1145" s="77"/>
      <c r="AD1145" s="77"/>
      <c r="AE1145" s="77"/>
      <c r="AF1145" s="77"/>
      <c r="AG1145" s="77"/>
      <c r="AH1145" s="78"/>
      <c r="AI1145" s="78"/>
      <c r="AJ1145" s="78"/>
      <c r="AK1145" s="78"/>
      <c r="AL1145" s="78"/>
      <c r="AM1145" s="78"/>
      <c r="AN1145" s="76"/>
      <c r="AO1145" s="76"/>
      <c r="AP1145" s="76"/>
      <c r="AQ1145" s="76"/>
      <c r="AR1145" s="76"/>
      <c r="AS1145" s="76"/>
      <c r="AT1145" s="76"/>
      <c r="AU1145" s="76"/>
      <c r="AV1145" s="76"/>
      <c r="AW1145" s="79"/>
      <c r="AX1145" s="79"/>
      <c r="AY1145" s="79"/>
      <c r="AZ1145" s="79"/>
      <c r="BA1145" s="79"/>
      <c r="BB1145" s="11"/>
      <c r="BC1145" s="11"/>
      <c r="BD1145" s="11"/>
      <c r="BE1145" s="73"/>
      <c r="BF1145" s="73"/>
      <c r="BG1145" s="73"/>
      <c r="BH1145" s="77"/>
      <c r="BI1145" s="77"/>
      <c r="BJ1145" s="77"/>
      <c r="BK1145" s="77"/>
      <c r="BL1145" s="77"/>
      <c r="BM1145" s="77"/>
      <c r="BN1145" s="158"/>
      <c r="BO1145" s="158"/>
    </row>
    <row r="1146" spans="1:67" ht="15" x14ac:dyDescent="0.25">
      <c r="A1146" s="71"/>
      <c r="B1146" s="11"/>
      <c r="C1146" s="11"/>
      <c r="D1146" s="11"/>
      <c r="E1146" s="11"/>
      <c r="F1146" s="11"/>
      <c r="G1146" s="11"/>
      <c r="H1146" s="11"/>
      <c r="I1146" s="11"/>
      <c r="J1146" s="249"/>
      <c r="K1146" s="73"/>
      <c r="L1146" s="75"/>
      <c r="M1146" s="73"/>
      <c r="N1146" s="74"/>
      <c r="O1146" s="75"/>
      <c r="P1146" s="73"/>
      <c r="Q1146" s="76"/>
      <c r="R1146" s="76"/>
      <c r="S1146" s="76"/>
      <c r="T1146" s="76"/>
      <c r="U1146" s="76"/>
      <c r="V1146" s="76"/>
      <c r="W1146" s="76"/>
      <c r="X1146" s="76"/>
      <c r="Y1146" s="76"/>
      <c r="Z1146" s="77"/>
      <c r="AA1146" s="77"/>
      <c r="AB1146" s="77"/>
      <c r="AC1146" s="77"/>
      <c r="AD1146" s="77"/>
      <c r="AE1146" s="77"/>
      <c r="AF1146" s="77"/>
      <c r="AG1146" s="77"/>
      <c r="AH1146" s="78"/>
      <c r="AI1146" s="78"/>
      <c r="AJ1146" s="78"/>
      <c r="AK1146" s="78"/>
      <c r="AL1146" s="78"/>
      <c r="AM1146" s="78"/>
      <c r="AN1146" s="76"/>
      <c r="AO1146" s="76"/>
      <c r="AP1146" s="76"/>
      <c r="AQ1146" s="76"/>
      <c r="AR1146" s="76"/>
      <c r="AS1146" s="76"/>
      <c r="AT1146" s="76"/>
      <c r="AU1146" s="76"/>
      <c r="AV1146" s="76"/>
      <c r="AW1146" s="79"/>
      <c r="AX1146" s="79"/>
      <c r="AY1146" s="79"/>
      <c r="AZ1146" s="79"/>
      <c r="BA1146" s="79"/>
      <c r="BB1146" s="11"/>
      <c r="BC1146" s="11"/>
      <c r="BD1146" s="11"/>
      <c r="BE1146" s="73"/>
      <c r="BF1146" s="73"/>
      <c r="BG1146" s="73"/>
      <c r="BH1146" s="77"/>
      <c r="BI1146" s="77"/>
      <c r="BJ1146" s="77"/>
      <c r="BK1146" s="77"/>
      <c r="BL1146" s="77"/>
      <c r="BM1146" s="77"/>
      <c r="BN1146" s="158"/>
      <c r="BO1146" s="158"/>
    </row>
    <row r="1147" spans="1:67" ht="15" x14ac:dyDescent="0.25">
      <c r="A1147" s="71"/>
      <c r="B1147" s="11"/>
      <c r="C1147" s="11"/>
      <c r="D1147" s="11"/>
      <c r="E1147" s="11"/>
      <c r="F1147" s="11"/>
      <c r="G1147" s="11"/>
      <c r="H1147" s="11"/>
      <c r="I1147" s="11"/>
      <c r="J1147" s="249"/>
      <c r="K1147" s="73"/>
      <c r="L1147" s="75"/>
      <c r="M1147" s="73"/>
      <c r="N1147" s="74"/>
      <c r="O1147" s="75"/>
      <c r="P1147" s="73"/>
      <c r="Q1147" s="76"/>
      <c r="R1147" s="76"/>
      <c r="S1147" s="76"/>
      <c r="T1147" s="76"/>
      <c r="U1147" s="76"/>
      <c r="V1147" s="76"/>
      <c r="W1147" s="76"/>
      <c r="X1147" s="76"/>
      <c r="Y1147" s="76"/>
      <c r="Z1147" s="77"/>
      <c r="AA1147" s="77"/>
      <c r="AB1147" s="77"/>
      <c r="AC1147" s="77"/>
      <c r="AD1147" s="77"/>
      <c r="AE1147" s="77"/>
      <c r="AF1147" s="77"/>
      <c r="AG1147" s="77"/>
      <c r="AH1147" s="78"/>
      <c r="AI1147" s="78"/>
      <c r="AJ1147" s="78"/>
      <c r="AK1147" s="78"/>
      <c r="AL1147" s="78"/>
      <c r="AM1147" s="78"/>
      <c r="AN1147" s="76"/>
      <c r="AO1147" s="76"/>
      <c r="AP1147" s="76"/>
      <c r="AQ1147" s="76"/>
      <c r="AR1147" s="76"/>
      <c r="AS1147" s="76"/>
      <c r="AT1147" s="76"/>
      <c r="AU1147" s="76"/>
      <c r="AV1147" s="76"/>
      <c r="AW1147" s="79"/>
      <c r="AX1147" s="79"/>
      <c r="AY1147" s="79"/>
      <c r="AZ1147" s="79"/>
      <c r="BA1147" s="79"/>
      <c r="BB1147" s="11"/>
      <c r="BC1147" s="11"/>
      <c r="BD1147" s="11"/>
      <c r="BE1147" s="73"/>
      <c r="BF1147" s="73"/>
      <c r="BG1147" s="73"/>
      <c r="BH1147" s="77"/>
      <c r="BI1147" s="77"/>
      <c r="BJ1147" s="77"/>
      <c r="BK1147" s="77"/>
      <c r="BL1147" s="77"/>
      <c r="BM1147" s="77"/>
      <c r="BN1147" s="158"/>
      <c r="BO1147" s="158"/>
    </row>
    <row r="1148" spans="1:67" ht="15" x14ac:dyDescent="0.25">
      <c r="A1148" s="71"/>
      <c r="B1148" s="11"/>
      <c r="C1148" s="11"/>
      <c r="D1148" s="11"/>
      <c r="E1148" s="11"/>
      <c r="F1148" s="11"/>
      <c r="G1148" s="11"/>
      <c r="H1148" s="11"/>
      <c r="I1148" s="11"/>
      <c r="J1148" s="249"/>
      <c r="K1148" s="73"/>
      <c r="L1148" s="75"/>
      <c r="M1148" s="73"/>
      <c r="N1148" s="74"/>
      <c r="O1148" s="75"/>
      <c r="P1148" s="73"/>
      <c r="Q1148" s="76"/>
      <c r="R1148" s="76"/>
      <c r="S1148" s="76"/>
      <c r="T1148" s="76"/>
      <c r="U1148" s="76"/>
      <c r="V1148" s="76"/>
      <c r="W1148" s="76"/>
      <c r="X1148" s="76"/>
      <c r="Y1148" s="76"/>
      <c r="Z1148" s="77"/>
      <c r="AA1148" s="77"/>
      <c r="AB1148" s="77"/>
      <c r="AC1148" s="77"/>
      <c r="AD1148" s="77"/>
      <c r="AE1148" s="77"/>
      <c r="AF1148" s="77"/>
      <c r="AG1148" s="77"/>
      <c r="AH1148" s="78"/>
      <c r="AI1148" s="78"/>
      <c r="AJ1148" s="78"/>
      <c r="AK1148" s="78"/>
      <c r="AL1148" s="78"/>
      <c r="AM1148" s="78"/>
      <c r="AN1148" s="76"/>
      <c r="AO1148" s="76"/>
      <c r="AP1148" s="76"/>
      <c r="AQ1148" s="76"/>
      <c r="AR1148" s="76"/>
      <c r="AS1148" s="76"/>
      <c r="AT1148" s="76"/>
      <c r="AU1148" s="76"/>
      <c r="AV1148" s="76"/>
      <c r="AW1148" s="79"/>
      <c r="AX1148" s="79"/>
      <c r="AY1148" s="79"/>
      <c r="AZ1148" s="79"/>
      <c r="BA1148" s="79"/>
      <c r="BB1148" s="11"/>
      <c r="BC1148" s="11"/>
      <c r="BD1148" s="11"/>
      <c r="BE1148" s="73"/>
      <c r="BF1148" s="73"/>
      <c r="BG1148" s="73"/>
      <c r="BH1148" s="77"/>
      <c r="BI1148" s="77"/>
      <c r="BJ1148" s="77"/>
      <c r="BK1148" s="77"/>
      <c r="BL1148" s="77"/>
      <c r="BM1148" s="77"/>
      <c r="BN1148" s="158"/>
      <c r="BO1148" s="158"/>
    </row>
    <row r="1149" spans="1:67" ht="15" x14ac:dyDescent="0.25">
      <c r="A1149" s="71"/>
      <c r="B1149" s="11"/>
      <c r="C1149" s="11"/>
      <c r="D1149" s="11"/>
      <c r="E1149" s="11"/>
      <c r="F1149" s="11"/>
      <c r="G1149" s="11"/>
      <c r="H1149" s="11"/>
      <c r="I1149" s="11"/>
      <c r="J1149" s="249"/>
      <c r="K1149" s="73"/>
      <c r="L1149" s="75"/>
      <c r="M1149" s="73"/>
      <c r="N1149" s="74"/>
      <c r="O1149" s="75"/>
      <c r="P1149" s="73"/>
      <c r="Q1149" s="76"/>
      <c r="R1149" s="76"/>
      <c r="S1149" s="76"/>
      <c r="T1149" s="76"/>
      <c r="U1149" s="76"/>
      <c r="V1149" s="76"/>
      <c r="W1149" s="76"/>
      <c r="X1149" s="76"/>
      <c r="Y1149" s="76"/>
      <c r="Z1149" s="77"/>
      <c r="AA1149" s="77"/>
      <c r="AB1149" s="77"/>
      <c r="AC1149" s="77"/>
      <c r="AD1149" s="77"/>
      <c r="AE1149" s="77"/>
      <c r="AF1149" s="77"/>
      <c r="AG1149" s="77"/>
      <c r="AH1149" s="78"/>
      <c r="AI1149" s="78"/>
      <c r="AJ1149" s="78"/>
      <c r="AK1149" s="78"/>
      <c r="AL1149" s="78"/>
      <c r="AM1149" s="78"/>
      <c r="AN1149" s="76"/>
      <c r="AO1149" s="76"/>
      <c r="AP1149" s="76"/>
      <c r="AQ1149" s="76"/>
      <c r="AR1149" s="76"/>
      <c r="AS1149" s="76"/>
      <c r="AT1149" s="76"/>
      <c r="AU1149" s="76"/>
      <c r="AV1149" s="76"/>
      <c r="AW1149" s="79"/>
      <c r="AX1149" s="79"/>
      <c r="AY1149" s="79"/>
      <c r="AZ1149" s="79"/>
      <c r="BA1149" s="79"/>
      <c r="BB1149" s="11"/>
      <c r="BC1149" s="11"/>
      <c r="BD1149" s="11"/>
      <c r="BE1149" s="73"/>
      <c r="BF1149" s="73"/>
      <c r="BG1149" s="73"/>
      <c r="BH1149" s="77"/>
      <c r="BI1149" s="77"/>
      <c r="BJ1149" s="77"/>
      <c r="BK1149" s="77"/>
      <c r="BL1149" s="77"/>
      <c r="BM1149" s="77"/>
      <c r="BN1149" s="158"/>
      <c r="BO1149" s="158"/>
    </row>
    <row r="1150" spans="1:67" ht="15" x14ac:dyDescent="0.25">
      <c r="A1150" s="71"/>
      <c r="B1150" s="11"/>
      <c r="C1150" s="11"/>
      <c r="D1150" s="11"/>
      <c r="E1150" s="11"/>
      <c r="F1150" s="11"/>
      <c r="G1150" s="11"/>
      <c r="H1150" s="11"/>
      <c r="I1150" s="11"/>
      <c r="J1150" s="249"/>
      <c r="K1150" s="73"/>
      <c r="L1150" s="75"/>
      <c r="M1150" s="73"/>
      <c r="N1150" s="74"/>
      <c r="O1150" s="75"/>
      <c r="P1150" s="73"/>
      <c r="Q1150" s="76"/>
      <c r="R1150" s="76"/>
      <c r="S1150" s="76"/>
      <c r="T1150" s="76"/>
      <c r="U1150" s="76"/>
      <c r="V1150" s="76"/>
      <c r="W1150" s="76"/>
      <c r="X1150" s="76"/>
      <c r="Y1150" s="76"/>
      <c r="Z1150" s="77"/>
      <c r="AA1150" s="77"/>
      <c r="AB1150" s="77"/>
      <c r="AC1150" s="77"/>
      <c r="AD1150" s="77"/>
      <c r="AE1150" s="77"/>
      <c r="AF1150" s="77"/>
      <c r="AG1150" s="77"/>
      <c r="AH1150" s="78"/>
      <c r="AI1150" s="78"/>
      <c r="AJ1150" s="78"/>
      <c r="AK1150" s="78"/>
      <c r="AL1150" s="78"/>
      <c r="AM1150" s="78"/>
      <c r="AN1150" s="76"/>
      <c r="AO1150" s="76"/>
      <c r="AP1150" s="76"/>
      <c r="AQ1150" s="76"/>
      <c r="AR1150" s="76"/>
      <c r="AS1150" s="76"/>
      <c r="AT1150" s="76"/>
      <c r="AU1150" s="76"/>
      <c r="AV1150" s="76"/>
      <c r="AW1150" s="79"/>
      <c r="AX1150" s="79"/>
      <c r="AY1150" s="79"/>
      <c r="AZ1150" s="79"/>
      <c r="BA1150" s="79"/>
      <c r="BB1150" s="11"/>
      <c r="BC1150" s="11"/>
      <c r="BD1150" s="11"/>
      <c r="BE1150" s="73"/>
      <c r="BF1150" s="73"/>
      <c r="BG1150" s="73"/>
      <c r="BH1150" s="77"/>
      <c r="BI1150" s="77"/>
      <c r="BJ1150" s="77"/>
      <c r="BK1150" s="77"/>
      <c r="BL1150" s="77"/>
      <c r="BM1150" s="77"/>
      <c r="BN1150" s="158"/>
      <c r="BO1150" s="158"/>
    </row>
    <row r="1151" spans="1:67" ht="15" x14ac:dyDescent="0.25">
      <c r="A1151" s="71"/>
      <c r="B1151" s="11"/>
      <c r="C1151" s="11"/>
      <c r="D1151" s="11"/>
      <c r="E1151" s="11"/>
      <c r="F1151" s="11"/>
      <c r="G1151" s="11"/>
      <c r="H1151" s="11"/>
      <c r="I1151" s="11"/>
      <c r="J1151" s="249"/>
      <c r="K1151" s="73"/>
      <c r="L1151" s="75"/>
      <c r="M1151" s="73"/>
      <c r="N1151" s="74"/>
      <c r="O1151" s="75"/>
      <c r="P1151" s="73"/>
      <c r="Q1151" s="76"/>
      <c r="R1151" s="76"/>
      <c r="S1151" s="76"/>
      <c r="T1151" s="76"/>
      <c r="U1151" s="76"/>
      <c r="V1151" s="76"/>
      <c r="W1151" s="76"/>
      <c r="X1151" s="76"/>
      <c r="Y1151" s="76"/>
      <c r="Z1151" s="77"/>
      <c r="AA1151" s="77"/>
      <c r="AB1151" s="77"/>
      <c r="AC1151" s="77"/>
      <c r="AD1151" s="77"/>
      <c r="AE1151" s="77"/>
      <c r="AF1151" s="77"/>
      <c r="AG1151" s="77"/>
      <c r="AH1151" s="78"/>
      <c r="AI1151" s="78"/>
      <c r="AJ1151" s="78"/>
      <c r="AK1151" s="78"/>
      <c r="AL1151" s="78"/>
      <c r="AM1151" s="78"/>
      <c r="AN1151" s="76"/>
      <c r="AO1151" s="76"/>
      <c r="AP1151" s="76"/>
      <c r="AQ1151" s="76"/>
      <c r="AR1151" s="76"/>
      <c r="AS1151" s="76"/>
      <c r="AT1151" s="76"/>
      <c r="AU1151" s="76"/>
      <c r="AV1151" s="76"/>
      <c r="AW1151" s="79"/>
      <c r="AX1151" s="79"/>
      <c r="AY1151" s="79"/>
      <c r="AZ1151" s="79"/>
      <c r="BA1151" s="79"/>
      <c r="BB1151" s="11"/>
      <c r="BC1151" s="11"/>
      <c r="BD1151" s="11"/>
      <c r="BE1151" s="73"/>
      <c r="BF1151" s="73"/>
      <c r="BG1151" s="73"/>
      <c r="BH1151" s="77"/>
      <c r="BI1151" s="77"/>
      <c r="BJ1151" s="77"/>
      <c r="BK1151" s="77"/>
      <c r="BL1151" s="77"/>
      <c r="BM1151" s="77"/>
      <c r="BN1151" s="158"/>
      <c r="BO1151" s="158"/>
    </row>
    <row r="1152" spans="1:67" ht="15" x14ac:dyDescent="0.25">
      <c r="A1152" s="71"/>
      <c r="B1152" s="11"/>
      <c r="C1152" s="11"/>
      <c r="D1152" s="11"/>
      <c r="E1152" s="11"/>
      <c r="F1152" s="11"/>
      <c r="G1152" s="11"/>
      <c r="H1152" s="11"/>
      <c r="I1152" s="11"/>
      <c r="J1152" s="249"/>
      <c r="K1152" s="73"/>
      <c r="L1152" s="75"/>
      <c r="M1152" s="73"/>
      <c r="N1152" s="74"/>
      <c r="O1152" s="75"/>
      <c r="P1152" s="73"/>
      <c r="Q1152" s="76"/>
      <c r="R1152" s="76"/>
      <c r="S1152" s="76"/>
      <c r="T1152" s="76"/>
      <c r="U1152" s="76"/>
      <c r="V1152" s="76"/>
      <c r="W1152" s="76"/>
      <c r="X1152" s="76"/>
      <c r="Y1152" s="76"/>
      <c r="Z1152" s="77"/>
      <c r="AA1152" s="77"/>
      <c r="AB1152" s="77"/>
      <c r="AC1152" s="77"/>
      <c r="AD1152" s="77"/>
      <c r="AE1152" s="77"/>
      <c r="AF1152" s="77"/>
      <c r="AG1152" s="77"/>
      <c r="AH1152" s="78"/>
      <c r="AI1152" s="78"/>
      <c r="AJ1152" s="78"/>
      <c r="AK1152" s="78"/>
      <c r="AL1152" s="78"/>
      <c r="AM1152" s="78"/>
      <c r="AN1152" s="76"/>
      <c r="AO1152" s="76"/>
      <c r="AP1152" s="76"/>
      <c r="AQ1152" s="76"/>
      <c r="AR1152" s="76"/>
      <c r="AS1152" s="76"/>
      <c r="AT1152" s="76"/>
      <c r="AU1152" s="76"/>
      <c r="AV1152" s="76"/>
      <c r="AW1152" s="79"/>
      <c r="AX1152" s="79"/>
      <c r="AY1152" s="79"/>
      <c r="AZ1152" s="79"/>
      <c r="BA1152" s="79"/>
      <c r="BB1152" s="11"/>
      <c r="BC1152" s="11"/>
      <c r="BD1152" s="11"/>
      <c r="BE1152" s="73"/>
      <c r="BF1152" s="73"/>
      <c r="BG1152" s="73"/>
      <c r="BH1152" s="77"/>
      <c r="BI1152" s="77"/>
      <c r="BJ1152" s="77"/>
      <c r="BK1152" s="77"/>
      <c r="BL1152" s="77"/>
      <c r="BM1152" s="77"/>
      <c r="BN1152" s="158"/>
      <c r="BO1152" s="158"/>
    </row>
    <row r="1153" spans="1:67" ht="15" x14ac:dyDescent="0.25">
      <c r="A1153" s="71"/>
      <c r="B1153" s="11"/>
      <c r="C1153" s="11"/>
      <c r="D1153" s="11"/>
      <c r="E1153" s="11"/>
      <c r="F1153" s="11"/>
      <c r="G1153" s="11"/>
      <c r="H1153" s="11"/>
      <c r="I1153" s="11"/>
      <c r="J1153" s="249"/>
      <c r="K1153" s="73"/>
      <c r="L1153" s="75"/>
      <c r="M1153" s="73"/>
      <c r="N1153" s="74"/>
      <c r="O1153" s="75"/>
      <c r="P1153" s="73"/>
      <c r="Q1153" s="76"/>
      <c r="R1153" s="76"/>
      <c r="S1153" s="76"/>
      <c r="T1153" s="76"/>
      <c r="U1153" s="76"/>
      <c r="V1153" s="76"/>
      <c r="W1153" s="76"/>
      <c r="X1153" s="76"/>
      <c r="Y1153" s="76"/>
      <c r="Z1153" s="77"/>
      <c r="AA1153" s="77"/>
      <c r="AB1153" s="77"/>
      <c r="AC1153" s="77"/>
      <c r="AD1153" s="77"/>
      <c r="AE1153" s="77"/>
      <c r="AF1153" s="77"/>
      <c r="AG1153" s="77"/>
      <c r="AH1153" s="78"/>
      <c r="AI1153" s="78"/>
      <c r="AJ1153" s="78"/>
      <c r="AK1153" s="78"/>
      <c r="AL1153" s="78"/>
      <c r="AM1153" s="78"/>
      <c r="AN1153" s="76"/>
      <c r="AO1153" s="76"/>
      <c r="AP1153" s="76"/>
      <c r="AQ1153" s="76"/>
      <c r="AR1153" s="76"/>
      <c r="AS1153" s="76"/>
      <c r="AT1153" s="76"/>
      <c r="AU1153" s="76"/>
      <c r="AV1153" s="76"/>
      <c r="AW1153" s="79"/>
      <c r="AX1153" s="79"/>
      <c r="AY1153" s="79"/>
      <c r="AZ1153" s="79"/>
      <c r="BA1153" s="79"/>
      <c r="BB1153" s="11"/>
      <c r="BC1153" s="11"/>
      <c r="BD1153" s="11"/>
      <c r="BE1153" s="73"/>
      <c r="BF1153" s="73"/>
      <c r="BG1153" s="73"/>
      <c r="BH1153" s="77"/>
      <c r="BI1153" s="77"/>
      <c r="BJ1153" s="77"/>
      <c r="BK1153" s="77"/>
      <c r="BL1153" s="77"/>
      <c r="BM1153" s="77"/>
      <c r="BN1153" s="158"/>
      <c r="BO1153" s="158"/>
    </row>
    <row r="1154" spans="1:67" ht="15" x14ac:dyDescent="0.25">
      <c r="A1154" s="71"/>
      <c r="B1154" s="11"/>
      <c r="C1154" s="11"/>
      <c r="D1154" s="11"/>
      <c r="E1154" s="11"/>
      <c r="F1154" s="11"/>
      <c r="G1154" s="11"/>
      <c r="H1154" s="11"/>
      <c r="I1154" s="11"/>
      <c r="J1154" s="249"/>
      <c r="K1154" s="73"/>
      <c r="L1154" s="75"/>
      <c r="M1154" s="73"/>
      <c r="N1154" s="74"/>
      <c r="O1154" s="75"/>
      <c r="P1154" s="73"/>
      <c r="Q1154" s="76"/>
      <c r="R1154" s="76"/>
      <c r="S1154" s="76"/>
      <c r="T1154" s="76"/>
      <c r="U1154" s="76"/>
      <c r="V1154" s="76"/>
      <c r="W1154" s="76"/>
      <c r="X1154" s="76"/>
      <c r="Y1154" s="76"/>
      <c r="Z1154" s="77"/>
      <c r="AA1154" s="77"/>
      <c r="AB1154" s="77"/>
      <c r="AC1154" s="77"/>
      <c r="AD1154" s="77"/>
      <c r="AE1154" s="77"/>
      <c r="AF1154" s="77"/>
      <c r="AG1154" s="77"/>
      <c r="AH1154" s="78"/>
      <c r="AI1154" s="78"/>
      <c r="AJ1154" s="78"/>
      <c r="AK1154" s="78"/>
      <c r="AL1154" s="78"/>
      <c r="AM1154" s="78"/>
      <c r="AN1154" s="76"/>
      <c r="AO1154" s="76"/>
      <c r="AP1154" s="76"/>
      <c r="AQ1154" s="76"/>
      <c r="AR1154" s="76"/>
      <c r="AS1154" s="76"/>
      <c r="AT1154" s="76"/>
      <c r="AU1154" s="76"/>
      <c r="AV1154" s="76"/>
      <c r="AW1154" s="79"/>
      <c r="AX1154" s="79"/>
      <c r="AY1154" s="79"/>
      <c r="AZ1154" s="79"/>
      <c r="BA1154" s="79"/>
      <c r="BB1154" s="11"/>
      <c r="BC1154" s="11"/>
      <c r="BD1154" s="11"/>
      <c r="BE1154" s="73"/>
      <c r="BF1154" s="73"/>
      <c r="BG1154" s="73"/>
      <c r="BH1154" s="77"/>
      <c r="BI1154" s="77"/>
      <c r="BJ1154" s="77"/>
      <c r="BK1154" s="77"/>
      <c r="BL1154" s="77"/>
      <c r="BM1154" s="77"/>
      <c r="BN1154" s="158"/>
      <c r="BO1154" s="158"/>
    </row>
    <row r="1155" spans="1:67" ht="15" x14ac:dyDescent="0.25">
      <c r="A1155" s="71"/>
      <c r="B1155" s="11"/>
      <c r="C1155" s="11"/>
      <c r="D1155" s="11"/>
      <c r="E1155" s="11"/>
      <c r="F1155" s="11"/>
      <c r="G1155" s="11"/>
      <c r="H1155" s="11"/>
      <c r="I1155" s="11"/>
      <c r="J1155" s="249"/>
      <c r="K1155" s="73"/>
      <c r="L1155" s="75"/>
      <c r="M1155" s="73"/>
      <c r="N1155" s="74"/>
      <c r="O1155" s="75"/>
      <c r="P1155" s="73"/>
      <c r="Q1155" s="76"/>
      <c r="R1155" s="76"/>
      <c r="S1155" s="76"/>
      <c r="T1155" s="76"/>
      <c r="U1155" s="76"/>
      <c r="V1155" s="76"/>
      <c r="W1155" s="76"/>
      <c r="X1155" s="76"/>
      <c r="Y1155" s="76"/>
      <c r="Z1155" s="77"/>
      <c r="AA1155" s="77"/>
      <c r="AB1155" s="77"/>
      <c r="AC1155" s="77"/>
      <c r="AD1155" s="77"/>
      <c r="AE1155" s="77"/>
      <c r="AF1155" s="77"/>
      <c r="AG1155" s="77"/>
      <c r="AH1155" s="78"/>
      <c r="AI1155" s="78"/>
      <c r="AJ1155" s="78"/>
      <c r="AK1155" s="78"/>
      <c r="AL1155" s="78"/>
      <c r="AM1155" s="78"/>
      <c r="AN1155" s="76"/>
      <c r="AO1155" s="76"/>
      <c r="AP1155" s="76"/>
      <c r="AQ1155" s="76"/>
      <c r="AR1155" s="76"/>
      <c r="AS1155" s="76"/>
      <c r="AT1155" s="76"/>
      <c r="AU1155" s="76"/>
      <c r="AV1155" s="76"/>
      <c r="AW1155" s="79"/>
      <c r="AX1155" s="79"/>
      <c r="AY1155" s="79"/>
      <c r="AZ1155" s="79"/>
      <c r="BA1155" s="79"/>
      <c r="BB1155" s="11"/>
      <c r="BC1155" s="11"/>
      <c r="BD1155" s="11"/>
      <c r="BE1155" s="73"/>
      <c r="BF1155" s="73"/>
      <c r="BG1155" s="73"/>
      <c r="BH1155" s="77"/>
      <c r="BI1155" s="77"/>
      <c r="BJ1155" s="77"/>
      <c r="BK1155" s="77"/>
      <c r="BL1155" s="77"/>
      <c r="BM1155" s="77"/>
      <c r="BN1155" s="158"/>
      <c r="BO1155" s="158"/>
    </row>
    <row r="1156" spans="1:67" ht="15" x14ac:dyDescent="0.25">
      <c r="A1156" s="71"/>
      <c r="B1156" s="11"/>
      <c r="C1156" s="11"/>
      <c r="D1156" s="11"/>
      <c r="E1156" s="11"/>
      <c r="F1156" s="11"/>
      <c r="G1156" s="11"/>
      <c r="H1156" s="11"/>
      <c r="I1156" s="11"/>
      <c r="J1156" s="249"/>
      <c r="K1156" s="73"/>
      <c r="L1156" s="75"/>
      <c r="M1156" s="73"/>
      <c r="N1156" s="74"/>
      <c r="O1156" s="75"/>
      <c r="P1156" s="73"/>
      <c r="Q1156" s="76"/>
      <c r="R1156" s="76"/>
      <c r="S1156" s="76"/>
      <c r="T1156" s="76"/>
      <c r="U1156" s="76"/>
      <c r="V1156" s="76"/>
      <c r="W1156" s="76"/>
      <c r="X1156" s="76"/>
      <c r="Y1156" s="76"/>
      <c r="Z1156" s="77"/>
      <c r="AA1156" s="77"/>
      <c r="AB1156" s="77"/>
      <c r="AC1156" s="77"/>
      <c r="AD1156" s="77"/>
      <c r="AE1156" s="77"/>
      <c r="AF1156" s="77"/>
      <c r="AG1156" s="77"/>
      <c r="AH1156" s="78"/>
      <c r="AI1156" s="78"/>
      <c r="AJ1156" s="78"/>
      <c r="AK1156" s="78"/>
      <c r="AL1156" s="78"/>
      <c r="AM1156" s="78"/>
      <c r="AN1156" s="76"/>
      <c r="AO1156" s="76"/>
      <c r="AP1156" s="76"/>
      <c r="AQ1156" s="76"/>
      <c r="AR1156" s="76"/>
      <c r="AS1156" s="76"/>
      <c r="AT1156" s="76"/>
      <c r="AU1156" s="76"/>
      <c r="AV1156" s="76"/>
      <c r="AW1156" s="79"/>
      <c r="AX1156" s="79"/>
      <c r="AY1156" s="79"/>
      <c r="AZ1156" s="79"/>
      <c r="BA1156" s="79"/>
      <c r="BB1156" s="11"/>
      <c r="BC1156" s="11"/>
      <c r="BD1156" s="11"/>
      <c r="BE1156" s="73"/>
      <c r="BF1156" s="73"/>
      <c r="BG1156" s="73"/>
      <c r="BH1156" s="77"/>
      <c r="BI1156" s="77"/>
      <c r="BJ1156" s="77"/>
      <c r="BK1156" s="77"/>
      <c r="BL1156" s="77"/>
      <c r="BM1156" s="77"/>
      <c r="BN1156" s="158"/>
      <c r="BO1156" s="158"/>
    </row>
    <row r="1157" spans="1:67" ht="15" x14ac:dyDescent="0.25">
      <c r="A1157" s="71"/>
      <c r="B1157" s="11"/>
      <c r="C1157" s="11"/>
      <c r="D1157" s="11"/>
      <c r="E1157" s="11"/>
      <c r="F1157" s="11"/>
      <c r="G1157" s="11"/>
      <c r="H1157" s="11"/>
      <c r="I1157" s="11"/>
      <c r="J1157" s="249"/>
      <c r="K1157" s="73"/>
      <c r="L1157" s="75"/>
      <c r="M1157" s="73"/>
      <c r="N1157" s="74"/>
      <c r="O1157" s="75"/>
      <c r="P1157" s="73"/>
      <c r="Q1157" s="76"/>
      <c r="R1157" s="76"/>
      <c r="S1157" s="76"/>
      <c r="T1157" s="76"/>
      <c r="U1157" s="76"/>
      <c r="V1157" s="76"/>
      <c r="W1157" s="76"/>
      <c r="X1157" s="76"/>
      <c r="Y1157" s="76"/>
      <c r="Z1157" s="77"/>
      <c r="AA1157" s="77"/>
      <c r="AB1157" s="77"/>
      <c r="AC1157" s="77"/>
      <c r="AD1157" s="77"/>
      <c r="AE1157" s="77"/>
      <c r="AF1157" s="77"/>
      <c r="AG1157" s="77"/>
      <c r="AH1157" s="78"/>
      <c r="AI1157" s="78"/>
      <c r="AJ1157" s="78"/>
      <c r="AK1157" s="78"/>
      <c r="AL1157" s="78"/>
      <c r="AM1157" s="78"/>
      <c r="AN1157" s="76"/>
      <c r="AO1157" s="76"/>
      <c r="AP1157" s="76"/>
      <c r="AQ1157" s="76"/>
      <c r="AR1157" s="76"/>
      <c r="AS1157" s="76"/>
      <c r="AT1157" s="76"/>
      <c r="AU1157" s="76"/>
      <c r="AV1157" s="76"/>
      <c r="AW1157" s="79"/>
      <c r="AX1157" s="79"/>
      <c r="AY1157" s="79"/>
      <c r="AZ1157" s="79"/>
      <c r="BA1157" s="79"/>
      <c r="BB1157" s="11"/>
      <c r="BC1157" s="11"/>
      <c r="BD1157" s="11"/>
      <c r="BE1157" s="73"/>
      <c r="BF1157" s="73"/>
      <c r="BG1157" s="73"/>
      <c r="BH1157" s="77"/>
      <c r="BI1157" s="77"/>
      <c r="BJ1157" s="77"/>
      <c r="BK1157" s="77"/>
      <c r="BL1157" s="77"/>
      <c r="BM1157" s="77"/>
      <c r="BN1157" s="158"/>
      <c r="BO1157" s="158"/>
    </row>
    <row r="1158" spans="1:67" ht="15" x14ac:dyDescent="0.25">
      <c r="A1158" s="71"/>
      <c r="B1158" s="11"/>
      <c r="C1158" s="11"/>
      <c r="D1158" s="11"/>
      <c r="E1158" s="11"/>
      <c r="F1158" s="11"/>
      <c r="G1158" s="11"/>
      <c r="H1158" s="11"/>
      <c r="I1158" s="11"/>
      <c r="J1158" s="249"/>
      <c r="K1158" s="73"/>
      <c r="L1158" s="75"/>
      <c r="M1158" s="73"/>
      <c r="N1158" s="74"/>
      <c r="O1158" s="75"/>
      <c r="P1158" s="73"/>
      <c r="Q1158" s="76"/>
      <c r="R1158" s="76"/>
      <c r="S1158" s="76"/>
      <c r="T1158" s="76"/>
      <c r="U1158" s="76"/>
      <c r="V1158" s="76"/>
      <c r="W1158" s="76"/>
      <c r="X1158" s="76"/>
      <c r="Y1158" s="76"/>
      <c r="Z1158" s="77"/>
      <c r="AA1158" s="77"/>
      <c r="AB1158" s="77"/>
      <c r="AC1158" s="77"/>
      <c r="AD1158" s="77"/>
      <c r="AE1158" s="77"/>
      <c r="AF1158" s="77"/>
      <c r="AG1158" s="77"/>
      <c r="AH1158" s="78"/>
      <c r="AI1158" s="78"/>
      <c r="AJ1158" s="78"/>
      <c r="AK1158" s="78"/>
      <c r="AL1158" s="78"/>
      <c r="AM1158" s="78"/>
      <c r="AN1158" s="76"/>
      <c r="AO1158" s="76"/>
      <c r="AP1158" s="76"/>
      <c r="AQ1158" s="76"/>
      <c r="AR1158" s="76"/>
      <c r="AS1158" s="76"/>
      <c r="AT1158" s="76"/>
      <c r="AU1158" s="76"/>
      <c r="AV1158" s="76"/>
      <c r="AW1158" s="79"/>
      <c r="AX1158" s="79"/>
      <c r="AY1158" s="79"/>
      <c r="AZ1158" s="79"/>
      <c r="BA1158" s="79"/>
      <c r="BB1158" s="11"/>
      <c r="BC1158" s="11"/>
      <c r="BD1158" s="11"/>
      <c r="BE1158" s="73"/>
      <c r="BF1158" s="73"/>
      <c r="BG1158" s="73"/>
      <c r="BH1158" s="77"/>
      <c r="BI1158" s="77"/>
      <c r="BJ1158" s="77"/>
      <c r="BK1158" s="77"/>
      <c r="BL1158" s="77"/>
      <c r="BM1158" s="77"/>
      <c r="BN1158" s="158"/>
      <c r="BO1158" s="158"/>
    </row>
    <row r="1159" spans="1:67" ht="15" x14ac:dyDescent="0.25">
      <c r="A1159" s="71"/>
      <c r="B1159" s="11"/>
      <c r="C1159" s="11"/>
      <c r="D1159" s="11"/>
      <c r="E1159" s="11"/>
      <c r="F1159" s="11"/>
      <c r="G1159" s="11"/>
      <c r="H1159" s="11"/>
      <c r="I1159" s="11"/>
      <c r="J1159" s="249"/>
      <c r="K1159" s="73"/>
      <c r="L1159" s="75"/>
      <c r="M1159" s="73"/>
      <c r="N1159" s="74"/>
      <c r="O1159" s="75"/>
      <c r="P1159" s="73"/>
      <c r="Q1159" s="76"/>
      <c r="R1159" s="76"/>
      <c r="S1159" s="76"/>
      <c r="T1159" s="76"/>
      <c r="U1159" s="76"/>
      <c r="V1159" s="76"/>
      <c r="W1159" s="76"/>
      <c r="X1159" s="76"/>
      <c r="Y1159" s="76"/>
      <c r="Z1159" s="77"/>
      <c r="AA1159" s="77"/>
      <c r="AB1159" s="77"/>
      <c r="AC1159" s="77"/>
      <c r="AD1159" s="77"/>
      <c r="AE1159" s="77"/>
      <c r="AF1159" s="77"/>
      <c r="AG1159" s="77"/>
      <c r="AH1159" s="78"/>
      <c r="AI1159" s="78"/>
      <c r="AJ1159" s="78"/>
      <c r="AK1159" s="78"/>
      <c r="AL1159" s="78"/>
      <c r="AM1159" s="78"/>
      <c r="AN1159" s="76"/>
      <c r="AO1159" s="76"/>
      <c r="AP1159" s="76"/>
      <c r="AQ1159" s="76"/>
      <c r="AR1159" s="76"/>
      <c r="AS1159" s="76"/>
      <c r="AT1159" s="76"/>
      <c r="AU1159" s="76"/>
      <c r="AV1159" s="76"/>
      <c r="AW1159" s="79"/>
      <c r="AX1159" s="79"/>
      <c r="AY1159" s="79"/>
      <c r="AZ1159" s="79"/>
      <c r="BA1159" s="79"/>
      <c r="BB1159" s="11"/>
      <c r="BC1159" s="11"/>
      <c r="BD1159" s="11"/>
      <c r="BE1159" s="73"/>
      <c r="BF1159" s="73"/>
      <c r="BG1159" s="73"/>
      <c r="BH1159" s="77"/>
      <c r="BI1159" s="77"/>
      <c r="BJ1159" s="77"/>
      <c r="BK1159" s="77"/>
      <c r="BL1159" s="77"/>
      <c r="BM1159" s="77"/>
      <c r="BN1159" s="158"/>
      <c r="BO1159" s="158"/>
    </row>
    <row r="1160" spans="1:67" ht="15" x14ac:dyDescent="0.25">
      <c r="A1160" s="71"/>
      <c r="B1160" s="11"/>
      <c r="C1160" s="11"/>
      <c r="D1160" s="11"/>
      <c r="E1160" s="11"/>
      <c r="F1160" s="11"/>
      <c r="G1160" s="11"/>
      <c r="H1160" s="11"/>
      <c r="I1160" s="11"/>
      <c r="J1160" s="249"/>
      <c r="K1160" s="73"/>
      <c r="L1160" s="75"/>
      <c r="M1160" s="73"/>
      <c r="N1160" s="74"/>
      <c r="O1160" s="75"/>
      <c r="P1160" s="73"/>
      <c r="Q1160" s="76"/>
      <c r="R1160" s="76"/>
      <c r="S1160" s="76"/>
      <c r="T1160" s="76"/>
      <c r="U1160" s="76"/>
      <c r="V1160" s="76"/>
      <c r="W1160" s="76"/>
      <c r="X1160" s="76"/>
      <c r="Y1160" s="76"/>
      <c r="Z1160" s="77"/>
      <c r="AA1160" s="77"/>
      <c r="AB1160" s="77"/>
      <c r="AC1160" s="77"/>
      <c r="AD1160" s="77"/>
      <c r="AE1160" s="77"/>
      <c r="AF1160" s="77"/>
      <c r="AG1160" s="77"/>
      <c r="AH1160" s="78"/>
      <c r="AI1160" s="78"/>
      <c r="AJ1160" s="78"/>
      <c r="AK1160" s="78"/>
      <c r="AL1160" s="78"/>
      <c r="AM1160" s="78"/>
      <c r="AN1160" s="76"/>
      <c r="AO1160" s="76"/>
      <c r="AP1160" s="76"/>
      <c r="AQ1160" s="76"/>
      <c r="AR1160" s="76"/>
      <c r="AS1160" s="76"/>
      <c r="AT1160" s="76"/>
      <c r="AU1160" s="76"/>
      <c r="AV1160" s="76"/>
      <c r="AW1160" s="79"/>
      <c r="AX1160" s="79"/>
      <c r="AY1160" s="79"/>
      <c r="AZ1160" s="79"/>
      <c r="BA1160" s="79"/>
      <c r="BB1160" s="11"/>
      <c r="BC1160" s="11"/>
      <c r="BD1160" s="11"/>
      <c r="BE1160" s="73"/>
      <c r="BF1160" s="73"/>
      <c r="BG1160" s="73"/>
      <c r="BH1160" s="77"/>
      <c r="BI1160" s="77"/>
      <c r="BJ1160" s="77"/>
      <c r="BK1160" s="77"/>
      <c r="BL1160" s="77"/>
      <c r="BM1160" s="77"/>
      <c r="BN1160" s="158"/>
      <c r="BO1160" s="158"/>
    </row>
    <row r="1161" spans="1:67" ht="15" x14ac:dyDescent="0.25">
      <c r="A1161" s="71"/>
      <c r="B1161" s="11"/>
      <c r="C1161" s="11"/>
      <c r="D1161" s="11"/>
      <c r="E1161" s="11"/>
      <c r="F1161" s="11"/>
      <c r="G1161" s="11"/>
      <c r="H1161" s="11"/>
      <c r="I1161" s="11"/>
      <c r="J1161" s="249"/>
      <c r="K1161" s="73"/>
      <c r="L1161" s="75"/>
      <c r="M1161" s="73"/>
      <c r="N1161" s="74"/>
      <c r="O1161" s="75"/>
      <c r="P1161" s="73"/>
      <c r="Q1161" s="76"/>
      <c r="R1161" s="76"/>
      <c r="S1161" s="76"/>
      <c r="T1161" s="76"/>
      <c r="U1161" s="76"/>
      <c r="V1161" s="76"/>
      <c r="W1161" s="76"/>
      <c r="X1161" s="76"/>
      <c r="Y1161" s="76"/>
      <c r="Z1161" s="77"/>
      <c r="AA1161" s="77"/>
      <c r="AB1161" s="77"/>
      <c r="AC1161" s="77"/>
      <c r="AD1161" s="77"/>
      <c r="AE1161" s="77"/>
      <c r="AF1161" s="77"/>
      <c r="AG1161" s="77"/>
      <c r="AH1161" s="78"/>
      <c r="AI1161" s="78"/>
      <c r="AJ1161" s="78"/>
      <c r="AK1161" s="78"/>
      <c r="AL1161" s="78"/>
      <c r="AM1161" s="78"/>
      <c r="AN1161" s="76"/>
      <c r="AO1161" s="76"/>
      <c r="AP1161" s="76"/>
      <c r="AQ1161" s="76"/>
      <c r="AR1161" s="76"/>
      <c r="AS1161" s="76"/>
      <c r="AT1161" s="76"/>
      <c r="AU1161" s="76"/>
      <c r="AV1161" s="76"/>
      <c r="AW1161" s="79"/>
      <c r="AX1161" s="79"/>
      <c r="AY1161" s="79"/>
      <c r="AZ1161" s="79"/>
      <c r="BA1161" s="79"/>
      <c r="BB1161" s="11"/>
      <c r="BC1161" s="11"/>
      <c r="BD1161" s="11"/>
      <c r="BE1161" s="73"/>
      <c r="BF1161" s="73"/>
      <c r="BG1161" s="73"/>
      <c r="BH1161" s="77"/>
      <c r="BI1161" s="77"/>
      <c r="BJ1161" s="77"/>
      <c r="BK1161" s="77"/>
      <c r="BL1161" s="77"/>
      <c r="BM1161" s="77"/>
      <c r="BN1161" s="158"/>
      <c r="BO1161" s="158"/>
    </row>
    <row r="1162" spans="1:67" ht="15" x14ac:dyDescent="0.25">
      <c r="A1162" s="71"/>
      <c r="B1162" s="11"/>
      <c r="C1162" s="11"/>
      <c r="D1162" s="11"/>
      <c r="E1162" s="11"/>
      <c r="F1162" s="11"/>
      <c r="G1162" s="11"/>
      <c r="H1162" s="11"/>
      <c r="I1162" s="11"/>
      <c r="J1162" s="249"/>
      <c r="K1162" s="73"/>
      <c r="L1162" s="75"/>
      <c r="M1162" s="73"/>
      <c r="N1162" s="74"/>
      <c r="O1162" s="75"/>
      <c r="P1162" s="73"/>
      <c r="Q1162" s="76"/>
      <c r="R1162" s="76"/>
      <c r="S1162" s="76"/>
      <c r="T1162" s="76"/>
      <c r="U1162" s="76"/>
      <c r="V1162" s="76"/>
      <c r="W1162" s="76"/>
      <c r="X1162" s="76"/>
      <c r="Y1162" s="76"/>
      <c r="Z1162" s="77"/>
      <c r="AA1162" s="77"/>
      <c r="AB1162" s="77"/>
      <c r="AC1162" s="77"/>
      <c r="AD1162" s="77"/>
      <c r="AE1162" s="77"/>
      <c r="AF1162" s="77"/>
      <c r="AG1162" s="77"/>
      <c r="AH1162" s="78"/>
      <c r="AI1162" s="78"/>
      <c r="AJ1162" s="78"/>
      <c r="AK1162" s="78"/>
      <c r="AL1162" s="78"/>
      <c r="AM1162" s="78"/>
      <c r="AN1162" s="76"/>
      <c r="AO1162" s="76"/>
      <c r="AP1162" s="76"/>
      <c r="AQ1162" s="76"/>
      <c r="AR1162" s="76"/>
      <c r="AS1162" s="76"/>
      <c r="AT1162" s="76"/>
      <c r="AU1162" s="76"/>
      <c r="AV1162" s="76"/>
      <c r="AW1162" s="79"/>
      <c r="AX1162" s="79"/>
      <c r="AY1162" s="79"/>
      <c r="AZ1162" s="79"/>
      <c r="BA1162" s="79"/>
      <c r="BB1162" s="11"/>
      <c r="BC1162" s="11"/>
      <c r="BD1162" s="11"/>
      <c r="BE1162" s="73"/>
      <c r="BF1162" s="73"/>
      <c r="BG1162" s="73"/>
      <c r="BH1162" s="77"/>
      <c r="BI1162" s="77"/>
      <c r="BJ1162" s="77"/>
      <c r="BK1162" s="77"/>
      <c r="BL1162" s="77"/>
      <c r="BM1162" s="77"/>
      <c r="BN1162" s="158"/>
      <c r="BO1162" s="158"/>
    </row>
    <row r="1163" spans="1:67" ht="15" x14ac:dyDescent="0.25">
      <c r="A1163" s="71"/>
      <c r="B1163" s="11"/>
      <c r="C1163" s="11"/>
      <c r="D1163" s="11"/>
      <c r="E1163" s="11"/>
      <c r="F1163" s="11"/>
      <c r="G1163" s="11"/>
      <c r="H1163" s="11"/>
      <c r="I1163" s="11"/>
      <c r="J1163" s="249"/>
      <c r="K1163" s="73"/>
      <c r="L1163" s="75"/>
      <c r="M1163" s="73"/>
      <c r="N1163" s="74"/>
      <c r="O1163" s="75"/>
      <c r="P1163" s="73"/>
      <c r="Q1163" s="76"/>
      <c r="R1163" s="76"/>
      <c r="S1163" s="76"/>
      <c r="T1163" s="76"/>
      <c r="U1163" s="76"/>
      <c r="V1163" s="76"/>
      <c r="W1163" s="76"/>
      <c r="X1163" s="76"/>
      <c r="Y1163" s="76"/>
      <c r="Z1163" s="77"/>
      <c r="AA1163" s="77"/>
      <c r="AB1163" s="77"/>
      <c r="AC1163" s="77"/>
      <c r="AD1163" s="77"/>
      <c r="AE1163" s="77"/>
      <c r="AF1163" s="77"/>
      <c r="AG1163" s="77"/>
      <c r="AH1163" s="78"/>
      <c r="AI1163" s="78"/>
      <c r="AJ1163" s="78"/>
      <c r="AK1163" s="78"/>
      <c r="AL1163" s="78"/>
      <c r="AM1163" s="78"/>
      <c r="AN1163" s="76"/>
      <c r="AO1163" s="76"/>
      <c r="AP1163" s="76"/>
      <c r="AQ1163" s="76"/>
      <c r="AR1163" s="76"/>
      <c r="AS1163" s="76"/>
      <c r="AT1163" s="76"/>
      <c r="AU1163" s="76"/>
      <c r="AV1163" s="76"/>
      <c r="AW1163" s="79"/>
      <c r="AX1163" s="79"/>
      <c r="AY1163" s="79"/>
      <c r="AZ1163" s="79"/>
      <c r="BA1163" s="79"/>
      <c r="BB1163" s="11"/>
      <c r="BC1163" s="11"/>
      <c r="BD1163" s="11"/>
      <c r="BE1163" s="73"/>
      <c r="BF1163" s="73"/>
      <c r="BG1163" s="73"/>
      <c r="BH1163" s="77"/>
      <c r="BI1163" s="77"/>
      <c r="BJ1163" s="77"/>
      <c r="BK1163" s="77"/>
      <c r="BL1163" s="77"/>
      <c r="BM1163" s="77"/>
      <c r="BN1163" s="158"/>
      <c r="BO1163" s="158"/>
    </row>
    <row r="1164" spans="1:67" ht="15" x14ac:dyDescent="0.25">
      <c r="A1164" s="71"/>
      <c r="B1164" s="11"/>
      <c r="C1164" s="11"/>
      <c r="D1164" s="11"/>
      <c r="E1164" s="11"/>
      <c r="F1164" s="11"/>
      <c r="G1164" s="11"/>
      <c r="H1164" s="11"/>
      <c r="I1164" s="11"/>
      <c r="J1164" s="249"/>
      <c r="K1164" s="73"/>
      <c r="L1164" s="75"/>
      <c r="M1164" s="73"/>
      <c r="N1164" s="74"/>
      <c r="O1164" s="75"/>
      <c r="P1164" s="73"/>
      <c r="Q1164" s="76"/>
      <c r="R1164" s="76"/>
      <c r="S1164" s="76"/>
      <c r="T1164" s="76"/>
      <c r="U1164" s="76"/>
      <c r="V1164" s="76"/>
      <c r="W1164" s="76"/>
      <c r="X1164" s="76"/>
      <c r="Y1164" s="76"/>
      <c r="Z1164" s="77"/>
      <c r="AA1164" s="77"/>
      <c r="AB1164" s="77"/>
      <c r="AC1164" s="77"/>
      <c r="AD1164" s="77"/>
      <c r="AE1164" s="77"/>
      <c r="AF1164" s="77"/>
      <c r="AG1164" s="77"/>
      <c r="AH1164" s="78"/>
      <c r="AI1164" s="78"/>
      <c r="AJ1164" s="78"/>
      <c r="AK1164" s="78"/>
      <c r="AL1164" s="78"/>
      <c r="AM1164" s="78"/>
      <c r="AN1164" s="76"/>
      <c r="AO1164" s="76"/>
      <c r="AP1164" s="76"/>
      <c r="AQ1164" s="76"/>
      <c r="AR1164" s="76"/>
      <c r="AS1164" s="76"/>
      <c r="AT1164" s="76"/>
      <c r="AU1164" s="76"/>
      <c r="AV1164" s="76"/>
      <c r="AW1164" s="79"/>
      <c r="AX1164" s="79"/>
      <c r="AY1164" s="79"/>
      <c r="AZ1164" s="79"/>
      <c r="BA1164" s="79"/>
      <c r="BB1164" s="11"/>
      <c r="BC1164" s="11"/>
      <c r="BD1164" s="11"/>
      <c r="BE1164" s="73"/>
      <c r="BF1164" s="73"/>
      <c r="BG1164" s="73"/>
      <c r="BH1164" s="77"/>
      <c r="BI1164" s="77"/>
      <c r="BJ1164" s="77"/>
      <c r="BK1164" s="77"/>
      <c r="BL1164" s="77"/>
      <c r="BM1164" s="77"/>
      <c r="BN1164" s="158"/>
      <c r="BO1164" s="158"/>
    </row>
    <row r="1165" spans="1:67" ht="15" x14ac:dyDescent="0.25">
      <c r="A1165" s="71"/>
      <c r="B1165" s="11"/>
      <c r="C1165" s="11"/>
      <c r="D1165" s="11"/>
      <c r="E1165" s="11"/>
      <c r="F1165" s="11"/>
      <c r="G1165" s="11"/>
      <c r="H1165" s="11"/>
      <c r="I1165" s="11"/>
      <c r="J1165" s="249"/>
      <c r="K1165" s="73"/>
      <c r="L1165" s="75"/>
      <c r="M1165" s="73"/>
      <c r="N1165" s="74"/>
      <c r="O1165" s="75"/>
      <c r="P1165" s="73"/>
      <c r="Q1165" s="76"/>
      <c r="R1165" s="76"/>
      <c r="S1165" s="76"/>
      <c r="T1165" s="76"/>
      <c r="U1165" s="76"/>
      <c r="V1165" s="76"/>
      <c r="W1165" s="76"/>
      <c r="X1165" s="76"/>
      <c r="Y1165" s="76"/>
      <c r="Z1165" s="77"/>
      <c r="AA1165" s="77"/>
      <c r="AB1165" s="77"/>
      <c r="AC1165" s="77"/>
      <c r="AD1165" s="77"/>
      <c r="AE1165" s="77"/>
      <c r="AF1165" s="77"/>
      <c r="AG1165" s="77"/>
      <c r="AH1165" s="78"/>
      <c r="AI1165" s="78"/>
      <c r="AJ1165" s="78"/>
      <c r="AK1165" s="78"/>
      <c r="AL1165" s="78"/>
      <c r="AM1165" s="78"/>
      <c r="AN1165" s="76"/>
      <c r="AO1165" s="76"/>
      <c r="AP1165" s="76"/>
      <c r="AQ1165" s="76"/>
      <c r="AR1165" s="76"/>
      <c r="AS1165" s="76"/>
      <c r="AT1165" s="76"/>
      <c r="AU1165" s="76"/>
      <c r="AV1165" s="76"/>
      <c r="AW1165" s="79"/>
      <c r="AX1165" s="79"/>
      <c r="AY1165" s="79"/>
      <c r="AZ1165" s="79"/>
      <c r="BA1165" s="79"/>
      <c r="BB1165" s="11"/>
      <c r="BC1165" s="11"/>
      <c r="BD1165" s="11"/>
      <c r="BE1165" s="73"/>
      <c r="BF1165" s="73"/>
      <c r="BG1165" s="73"/>
      <c r="BH1165" s="77"/>
      <c r="BI1165" s="77"/>
      <c r="BJ1165" s="77"/>
      <c r="BK1165" s="77"/>
      <c r="BL1165" s="77"/>
      <c r="BM1165" s="77"/>
      <c r="BN1165" s="158"/>
      <c r="BO1165" s="158"/>
    </row>
    <row r="1166" spans="1:67" ht="15" x14ac:dyDescent="0.25">
      <c r="A1166" s="71"/>
      <c r="B1166" s="11"/>
      <c r="C1166" s="11"/>
      <c r="D1166" s="11"/>
      <c r="E1166" s="11"/>
      <c r="F1166" s="11"/>
      <c r="G1166" s="11"/>
      <c r="H1166" s="11"/>
      <c r="I1166" s="11"/>
      <c r="J1166" s="249"/>
      <c r="K1166" s="73"/>
      <c r="L1166" s="75"/>
      <c r="M1166" s="73"/>
      <c r="N1166" s="74"/>
      <c r="O1166" s="75"/>
      <c r="P1166" s="73"/>
      <c r="Q1166" s="76"/>
      <c r="R1166" s="76"/>
      <c r="S1166" s="76"/>
      <c r="T1166" s="76"/>
      <c r="U1166" s="76"/>
      <c r="V1166" s="76"/>
      <c r="W1166" s="76"/>
      <c r="X1166" s="76"/>
      <c r="Y1166" s="76"/>
      <c r="Z1166" s="77"/>
      <c r="AA1166" s="77"/>
      <c r="AB1166" s="77"/>
      <c r="AC1166" s="77"/>
      <c r="AD1166" s="77"/>
      <c r="AE1166" s="77"/>
      <c r="AF1166" s="77"/>
      <c r="AG1166" s="77"/>
      <c r="AH1166" s="78"/>
      <c r="AI1166" s="78"/>
      <c r="AJ1166" s="78"/>
      <c r="AK1166" s="78"/>
      <c r="AL1166" s="78"/>
      <c r="AM1166" s="78"/>
      <c r="AN1166" s="76"/>
      <c r="AO1166" s="76"/>
      <c r="AP1166" s="76"/>
      <c r="AQ1166" s="76"/>
      <c r="AR1166" s="76"/>
      <c r="AS1166" s="76"/>
      <c r="AT1166" s="76"/>
      <c r="AU1166" s="76"/>
      <c r="AV1166" s="76"/>
      <c r="AW1166" s="79"/>
      <c r="AX1166" s="79"/>
      <c r="AY1166" s="79"/>
      <c r="AZ1166" s="79"/>
      <c r="BA1166" s="79"/>
      <c r="BB1166" s="11"/>
      <c r="BC1166" s="11"/>
      <c r="BD1166" s="11"/>
      <c r="BE1166" s="73"/>
      <c r="BF1166" s="73"/>
      <c r="BG1166" s="73"/>
      <c r="BH1166" s="77"/>
      <c r="BI1166" s="77"/>
      <c r="BJ1166" s="77"/>
      <c r="BK1166" s="77"/>
      <c r="BL1166" s="77"/>
      <c r="BM1166" s="77"/>
      <c r="BN1166" s="158"/>
      <c r="BO1166" s="158"/>
    </row>
    <row r="1167" spans="1:67" ht="15" x14ac:dyDescent="0.25">
      <c r="A1167" s="71"/>
      <c r="B1167" s="11"/>
      <c r="C1167" s="11"/>
      <c r="D1167" s="11"/>
      <c r="E1167" s="11"/>
      <c r="F1167" s="11"/>
      <c r="G1167" s="11"/>
      <c r="H1167" s="11"/>
      <c r="I1167" s="11"/>
      <c r="J1167" s="249"/>
      <c r="K1167" s="73"/>
      <c r="L1167" s="75"/>
      <c r="M1167" s="73"/>
      <c r="N1167" s="74"/>
      <c r="O1167" s="75"/>
      <c r="P1167" s="73"/>
      <c r="Q1167" s="76"/>
      <c r="R1167" s="76"/>
      <c r="S1167" s="76"/>
      <c r="T1167" s="76"/>
      <c r="U1167" s="76"/>
      <c r="V1167" s="76"/>
      <c r="W1167" s="76"/>
      <c r="X1167" s="76"/>
      <c r="Y1167" s="76"/>
      <c r="Z1167" s="77"/>
      <c r="AA1167" s="77"/>
      <c r="AB1167" s="77"/>
      <c r="AC1167" s="77"/>
      <c r="AD1167" s="77"/>
      <c r="AE1167" s="77"/>
      <c r="AF1167" s="77"/>
      <c r="AG1167" s="77"/>
      <c r="AH1167" s="78"/>
      <c r="AI1167" s="78"/>
      <c r="AJ1167" s="78"/>
      <c r="AK1167" s="78"/>
      <c r="AL1167" s="78"/>
      <c r="AM1167" s="78"/>
      <c r="AN1167" s="76"/>
      <c r="AO1167" s="76"/>
      <c r="AP1167" s="76"/>
      <c r="AQ1167" s="76"/>
      <c r="AR1167" s="76"/>
      <c r="AS1167" s="76"/>
      <c r="AT1167" s="76"/>
      <c r="AU1167" s="76"/>
      <c r="AV1167" s="76"/>
      <c r="AW1167" s="79"/>
      <c r="AX1167" s="79"/>
      <c r="AY1167" s="79"/>
      <c r="AZ1167" s="79"/>
      <c r="BA1167" s="79"/>
      <c r="BB1167" s="11"/>
      <c r="BC1167" s="11"/>
      <c r="BD1167" s="11"/>
      <c r="BE1167" s="73"/>
      <c r="BF1167" s="73"/>
      <c r="BG1167" s="73"/>
      <c r="BH1167" s="77"/>
      <c r="BI1167" s="77"/>
      <c r="BJ1167" s="77"/>
      <c r="BK1167" s="77"/>
      <c r="BL1167" s="77"/>
      <c r="BM1167" s="77"/>
      <c r="BN1167" s="158"/>
      <c r="BO1167" s="158"/>
    </row>
    <row r="1168" spans="1:67" ht="15" x14ac:dyDescent="0.25">
      <c r="A1168" s="71"/>
      <c r="B1168" s="11"/>
      <c r="C1168" s="11"/>
      <c r="D1168" s="11"/>
      <c r="E1168" s="11"/>
      <c r="F1168" s="11"/>
      <c r="G1168" s="11"/>
      <c r="H1168" s="11"/>
      <c r="I1168" s="11"/>
      <c r="J1168" s="249"/>
      <c r="K1168" s="73"/>
      <c r="L1168" s="75"/>
      <c r="M1168" s="73"/>
      <c r="N1168" s="74"/>
      <c r="O1168" s="75"/>
      <c r="P1168" s="73"/>
      <c r="Q1168" s="76"/>
      <c r="R1168" s="76"/>
      <c r="S1168" s="76"/>
      <c r="T1168" s="76"/>
      <c r="U1168" s="76"/>
      <c r="V1168" s="76"/>
      <c r="W1168" s="76"/>
      <c r="X1168" s="76"/>
      <c r="Y1168" s="76"/>
      <c r="Z1168" s="77"/>
      <c r="AA1168" s="77"/>
      <c r="AB1168" s="77"/>
      <c r="AC1168" s="77"/>
      <c r="AD1168" s="77"/>
      <c r="AE1168" s="77"/>
      <c r="AF1168" s="77"/>
      <c r="AG1168" s="77"/>
      <c r="AH1168" s="78"/>
      <c r="AI1168" s="78"/>
      <c r="AJ1168" s="78"/>
      <c r="AK1168" s="78"/>
      <c r="AL1168" s="78"/>
      <c r="AM1168" s="78"/>
      <c r="AN1168" s="76"/>
      <c r="AO1168" s="76"/>
      <c r="AP1168" s="76"/>
      <c r="AQ1168" s="76"/>
      <c r="AR1168" s="76"/>
      <c r="AS1168" s="76"/>
      <c r="AT1168" s="76"/>
      <c r="AU1168" s="76"/>
      <c r="AV1168" s="76"/>
      <c r="AW1168" s="79"/>
      <c r="AX1168" s="79"/>
      <c r="AY1168" s="79"/>
      <c r="AZ1168" s="79"/>
      <c r="BA1168" s="79"/>
      <c r="BB1168" s="11"/>
      <c r="BC1168" s="11"/>
      <c r="BD1168" s="11"/>
      <c r="BE1168" s="73"/>
      <c r="BF1168" s="73"/>
      <c r="BG1168" s="73"/>
      <c r="BH1168" s="77"/>
      <c r="BI1168" s="77"/>
      <c r="BJ1168" s="77"/>
      <c r="BK1168" s="77"/>
      <c r="BL1168" s="77"/>
      <c r="BM1168" s="77"/>
      <c r="BN1168" s="158"/>
      <c r="BO1168" s="158"/>
    </row>
    <row r="1169" spans="1:67" ht="15" x14ac:dyDescent="0.25">
      <c r="A1169" s="71"/>
      <c r="B1169" s="11"/>
      <c r="C1169" s="11"/>
      <c r="D1169" s="11"/>
      <c r="E1169" s="11"/>
      <c r="F1169" s="11"/>
      <c r="G1169" s="11"/>
      <c r="H1169" s="11"/>
      <c r="I1169" s="11"/>
      <c r="J1169" s="249"/>
      <c r="K1169" s="73"/>
      <c r="L1169" s="75"/>
      <c r="M1169" s="73"/>
      <c r="N1169" s="74"/>
      <c r="O1169" s="75"/>
      <c r="P1169" s="73"/>
      <c r="Q1169" s="76"/>
      <c r="R1169" s="76"/>
      <c r="S1169" s="76"/>
      <c r="T1169" s="76"/>
      <c r="U1169" s="76"/>
      <c r="V1169" s="76"/>
      <c r="W1169" s="76"/>
      <c r="X1169" s="76"/>
      <c r="Y1169" s="76"/>
      <c r="Z1169" s="77"/>
      <c r="AA1169" s="77"/>
      <c r="AB1169" s="77"/>
      <c r="AC1169" s="77"/>
      <c r="AD1169" s="77"/>
      <c r="AE1169" s="77"/>
      <c r="AF1169" s="77"/>
      <c r="AG1169" s="77"/>
      <c r="AH1169" s="78"/>
      <c r="AI1169" s="78"/>
      <c r="AJ1169" s="78"/>
      <c r="AK1169" s="78"/>
      <c r="AL1169" s="78"/>
      <c r="AM1169" s="78"/>
      <c r="AN1169" s="76"/>
      <c r="AO1169" s="76"/>
      <c r="AP1169" s="76"/>
      <c r="AQ1169" s="76"/>
      <c r="AR1169" s="76"/>
      <c r="AS1169" s="76"/>
      <c r="AT1169" s="76"/>
      <c r="AU1169" s="76"/>
      <c r="AV1169" s="76"/>
      <c r="AW1169" s="79"/>
      <c r="AX1169" s="79"/>
      <c r="AY1169" s="79"/>
      <c r="AZ1169" s="79"/>
      <c r="BA1169" s="79"/>
      <c r="BB1169" s="11"/>
      <c r="BC1169" s="11"/>
      <c r="BD1169" s="11"/>
      <c r="BE1169" s="73"/>
      <c r="BF1169" s="73"/>
      <c r="BG1169" s="73"/>
      <c r="BH1169" s="77"/>
      <c r="BI1169" s="77"/>
      <c r="BJ1169" s="77"/>
      <c r="BK1169" s="77"/>
      <c r="BL1169" s="77"/>
      <c r="BM1169" s="77"/>
      <c r="BN1169" s="158"/>
      <c r="BO1169" s="158"/>
    </row>
    <row r="1170" spans="1:67" ht="15" x14ac:dyDescent="0.25">
      <c r="A1170" s="71"/>
      <c r="B1170" s="11"/>
      <c r="C1170" s="11"/>
      <c r="D1170" s="11"/>
      <c r="E1170" s="11"/>
      <c r="F1170" s="11"/>
      <c r="G1170" s="11"/>
      <c r="H1170" s="11"/>
      <c r="I1170" s="11"/>
      <c r="J1170" s="249"/>
      <c r="K1170" s="73"/>
      <c r="L1170" s="75"/>
      <c r="M1170" s="73"/>
      <c r="N1170" s="74"/>
      <c r="O1170" s="75"/>
      <c r="P1170" s="73"/>
      <c r="Q1170" s="76"/>
      <c r="R1170" s="76"/>
      <c r="S1170" s="76"/>
      <c r="T1170" s="76"/>
      <c r="U1170" s="76"/>
      <c r="V1170" s="76"/>
      <c r="W1170" s="76"/>
      <c r="X1170" s="76"/>
      <c r="Y1170" s="76"/>
      <c r="Z1170" s="77"/>
      <c r="AA1170" s="77"/>
      <c r="AB1170" s="77"/>
      <c r="AC1170" s="77"/>
      <c r="AD1170" s="77"/>
      <c r="AE1170" s="77"/>
      <c r="AF1170" s="77"/>
      <c r="AG1170" s="77"/>
      <c r="AH1170" s="78"/>
      <c r="AI1170" s="78"/>
      <c r="AJ1170" s="78"/>
      <c r="AK1170" s="78"/>
      <c r="AL1170" s="78"/>
      <c r="AM1170" s="78"/>
      <c r="AN1170" s="76"/>
      <c r="AO1170" s="76"/>
      <c r="AP1170" s="76"/>
      <c r="AQ1170" s="76"/>
      <c r="AR1170" s="76"/>
      <c r="AS1170" s="76"/>
      <c r="AT1170" s="76"/>
      <c r="AU1170" s="76"/>
      <c r="AV1170" s="76"/>
      <c r="AW1170" s="79"/>
      <c r="AX1170" s="79"/>
      <c r="AY1170" s="79"/>
      <c r="AZ1170" s="79"/>
      <c r="BA1170" s="79"/>
      <c r="BB1170" s="11"/>
      <c r="BC1170" s="11"/>
      <c r="BD1170" s="11"/>
      <c r="BE1170" s="73"/>
      <c r="BF1170" s="73"/>
      <c r="BG1170" s="73"/>
      <c r="BH1170" s="77"/>
      <c r="BI1170" s="77"/>
      <c r="BJ1170" s="77"/>
      <c r="BK1170" s="77"/>
      <c r="BL1170" s="77"/>
      <c r="BM1170" s="77"/>
      <c r="BN1170" s="158"/>
      <c r="BO1170" s="158"/>
    </row>
    <row r="1171" spans="1:67" ht="15" x14ac:dyDescent="0.25">
      <c r="A1171" s="71"/>
      <c r="B1171" s="11"/>
      <c r="C1171" s="11"/>
      <c r="D1171" s="11"/>
      <c r="E1171" s="11"/>
      <c r="F1171" s="11"/>
      <c r="G1171" s="11"/>
      <c r="H1171" s="11"/>
      <c r="I1171" s="11"/>
      <c r="J1171" s="249"/>
      <c r="K1171" s="73"/>
      <c r="L1171" s="75"/>
      <c r="M1171" s="73"/>
      <c r="N1171" s="74"/>
      <c r="O1171" s="75"/>
      <c r="P1171" s="73"/>
      <c r="Q1171" s="76"/>
      <c r="R1171" s="76"/>
      <c r="S1171" s="76"/>
      <c r="T1171" s="76"/>
      <c r="U1171" s="76"/>
      <c r="V1171" s="76"/>
      <c r="W1171" s="76"/>
      <c r="X1171" s="76"/>
      <c r="Y1171" s="76"/>
      <c r="Z1171" s="77"/>
      <c r="AA1171" s="77"/>
      <c r="AB1171" s="77"/>
      <c r="AC1171" s="77"/>
      <c r="AD1171" s="77"/>
      <c r="AE1171" s="77"/>
      <c r="AF1171" s="77"/>
      <c r="AG1171" s="77"/>
      <c r="AH1171" s="78"/>
      <c r="AI1171" s="78"/>
      <c r="AJ1171" s="78"/>
      <c r="AK1171" s="78"/>
      <c r="AL1171" s="78"/>
      <c r="AM1171" s="78"/>
      <c r="AN1171" s="76"/>
      <c r="AO1171" s="76"/>
      <c r="AP1171" s="76"/>
      <c r="AQ1171" s="76"/>
      <c r="AR1171" s="76"/>
      <c r="AS1171" s="76"/>
      <c r="AT1171" s="76"/>
      <c r="AU1171" s="76"/>
      <c r="AV1171" s="76"/>
      <c r="AW1171" s="79"/>
      <c r="AX1171" s="79"/>
      <c r="AY1171" s="79"/>
      <c r="AZ1171" s="79"/>
      <c r="BA1171" s="79"/>
      <c r="BB1171" s="11"/>
      <c r="BC1171" s="11"/>
      <c r="BD1171" s="11"/>
      <c r="BE1171" s="73"/>
      <c r="BF1171" s="73"/>
      <c r="BG1171" s="73"/>
      <c r="BH1171" s="77"/>
      <c r="BI1171" s="77"/>
      <c r="BJ1171" s="77"/>
      <c r="BK1171" s="77"/>
      <c r="BL1171" s="77"/>
      <c r="BM1171" s="77"/>
      <c r="BN1171" s="158"/>
      <c r="BO1171" s="158"/>
    </row>
    <row r="1172" spans="1:67" ht="15" x14ac:dyDescent="0.25">
      <c r="A1172" s="71"/>
      <c r="B1172" s="11"/>
      <c r="C1172" s="11"/>
      <c r="D1172" s="11"/>
      <c r="E1172" s="11"/>
      <c r="F1172" s="11"/>
      <c r="G1172" s="11"/>
      <c r="H1172" s="11"/>
      <c r="I1172" s="11"/>
      <c r="J1172" s="249"/>
      <c r="K1172" s="73"/>
      <c r="L1172" s="75"/>
      <c r="M1172" s="73"/>
      <c r="N1172" s="74"/>
      <c r="O1172" s="75"/>
      <c r="P1172" s="73"/>
      <c r="Q1172" s="76"/>
      <c r="R1172" s="76"/>
      <c r="S1172" s="76"/>
      <c r="T1172" s="76"/>
      <c r="U1172" s="76"/>
      <c r="V1172" s="76"/>
      <c r="W1172" s="76"/>
      <c r="X1172" s="76"/>
      <c r="Y1172" s="76"/>
      <c r="Z1172" s="77"/>
      <c r="AA1172" s="77"/>
      <c r="AB1172" s="77"/>
      <c r="AC1172" s="77"/>
      <c r="AD1172" s="77"/>
      <c r="AE1172" s="77"/>
      <c r="AF1172" s="77"/>
      <c r="AG1172" s="77"/>
      <c r="AH1172" s="78"/>
      <c r="AI1172" s="78"/>
      <c r="AJ1172" s="78"/>
      <c r="AK1172" s="78"/>
      <c r="AL1172" s="78"/>
      <c r="AM1172" s="78"/>
      <c r="AN1172" s="76"/>
      <c r="AO1172" s="76"/>
      <c r="AP1172" s="76"/>
      <c r="AQ1172" s="76"/>
      <c r="AR1172" s="76"/>
      <c r="AS1172" s="76"/>
      <c r="AT1172" s="76"/>
      <c r="AU1172" s="76"/>
      <c r="AV1172" s="76"/>
      <c r="AW1172" s="79"/>
      <c r="AX1172" s="79"/>
      <c r="AY1172" s="79"/>
      <c r="AZ1172" s="79"/>
      <c r="BA1172" s="79"/>
      <c r="BB1172" s="11"/>
      <c r="BC1172" s="11"/>
      <c r="BD1172" s="11"/>
      <c r="BE1172" s="73"/>
      <c r="BF1172" s="73"/>
      <c r="BG1172" s="73"/>
      <c r="BH1172" s="77"/>
      <c r="BI1172" s="77"/>
      <c r="BJ1172" s="77"/>
      <c r="BK1172" s="77"/>
      <c r="BL1172" s="77"/>
      <c r="BM1172" s="77"/>
      <c r="BN1172" s="158"/>
      <c r="BO1172" s="158"/>
    </row>
    <row r="1173" spans="1:67" ht="15" x14ac:dyDescent="0.25">
      <c r="A1173" s="71"/>
      <c r="B1173" s="11"/>
      <c r="C1173" s="11"/>
      <c r="D1173" s="11"/>
      <c r="E1173" s="11"/>
      <c r="F1173" s="11"/>
      <c r="G1173" s="11"/>
      <c r="H1173" s="11"/>
      <c r="I1173" s="11"/>
      <c r="J1173" s="249"/>
      <c r="K1173" s="73"/>
      <c r="L1173" s="75"/>
      <c r="M1173" s="73"/>
      <c r="N1173" s="74"/>
      <c r="O1173" s="75"/>
      <c r="P1173" s="73"/>
      <c r="Q1173" s="76"/>
      <c r="R1173" s="76"/>
      <c r="S1173" s="76"/>
      <c r="T1173" s="76"/>
      <c r="U1173" s="76"/>
      <c r="V1173" s="76"/>
      <c r="W1173" s="76"/>
      <c r="X1173" s="76"/>
      <c r="Y1173" s="76"/>
      <c r="Z1173" s="77"/>
      <c r="AA1173" s="77"/>
      <c r="AB1173" s="77"/>
      <c r="AC1173" s="77"/>
      <c r="AD1173" s="77"/>
      <c r="AE1173" s="77"/>
      <c r="AF1173" s="77"/>
      <c r="AG1173" s="77"/>
      <c r="AH1173" s="78"/>
      <c r="AI1173" s="78"/>
      <c r="AJ1173" s="78"/>
      <c r="AK1173" s="78"/>
      <c r="AL1173" s="78"/>
      <c r="AM1173" s="78"/>
      <c r="AN1173" s="76"/>
      <c r="AO1173" s="76"/>
      <c r="AP1173" s="76"/>
      <c r="AQ1173" s="76"/>
      <c r="AR1173" s="76"/>
      <c r="AS1173" s="76"/>
      <c r="AT1173" s="76"/>
      <c r="AU1173" s="76"/>
      <c r="AV1173" s="76"/>
      <c r="AW1173" s="79"/>
      <c r="AX1173" s="79"/>
      <c r="AY1173" s="79"/>
      <c r="AZ1173" s="79"/>
      <c r="BA1173" s="79"/>
      <c r="BB1173" s="11"/>
      <c r="BC1173" s="11"/>
      <c r="BD1173" s="11"/>
      <c r="BE1173" s="73"/>
      <c r="BF1173" s="73"/>
      <c r="BG1173" s="73"/>
      <c r="BH1173" s="77"/>
      <c r="BI1173" s="77"/>
      <c r="BJ1173" s="77"/>
      <c r="BK1173" s="77"/>
      <c r="BL1173" s="77"/>
      <c r="BM1173" s="77"/>
      <c r="BN1173" s="158"/>
      <c r="BO1173" s="158"/>
    </row>
    <row r="1174" spans="1:67" ht="15" x14ac:dyDescent="0.25">
      <c r="A1174" s="71"/>
      <c r="B1174" s="11"/>
      <c r="C1174" s="11"/>
      <c r="D1174" s="11"/>
      <c r="E1174" s="11"/>
      <c r="F1174" s="11"/>
      <c r="G1174" s="11"/>
      <c r="H1174" s="11"/>
      <c r="I1174" s="11"/>
      <c r="J1174" s="249"/>
      <c r="K1174" s="73"/>
      <c r="L1174" s="75"/>
      <c r="M1174" s="73"/>
      <c r="N1174" s="74"/>
      <c r="O1174" s="75"/>
      <c r="P1174" s="73"/>
      <c r="Q1174" s="76"/>
      <c r="R1174" s="76"/>
      <c r="S1174" s="76"/>
      <c r="T1174" s="76"/>
      <c r="U1174" s="76"/>
      <c r="V1174" s="76"/>
      <c r="W1174" s="76"/>
      <c r="X1174" s="76"/>
      <c r="Y1174" s="76"/>
      <c r="Z1174" s="77"/>
      <c r="AA1174" s="77"/>
      <c r="AB1174" s="77"/>
      <c r="AC1174" s="77"/>
      <c r="AD1174" s="77"/>
      <c r="AE1174" s="77"/>
      <c r="AF1174" s="77"/>
      <c r="AG1174" s="77"/>
      <c r="AH1174" s="78"/>
      <c r="AI1174" s="78"/>
      <c r="AJ1174" s="78"/>
      <c r="AK1174" s="78"/>
      <c r="AL1174" s="78"/>
      <c r="AM1174" s="78"/>
      <c r="AN1174" s="76"/>
      <c r="AO1174" s="76"/>
      <c r="AP1174" s="76"/>
      <c r="AQ1174" s="76"/>
      <c r="AR1174" s="76"/>
      <c r="AS1174" s="76"/>
      <c r="AT1174" s="76"/>
      <c r="AU1174" s="76"/>
      <c r="AV1174" s="76"/>
      <c r="AW1174" s="79"/>
      <c r="AX1174" s="79"/>
      <c r="AY1174" s="79"/>
      <c r="AZ1174" s="79"/>
      <c r="BA1174" s="79"/>
      <c r="BB1174" s="11"/>
      <c r="BC1174" s="11"/>
      <c r="BD1174" s="11"/>
      <c r="BE1174" s="73"/>
      <c r="BF1174" s="73"/>
      <c r="BG1174" s="73"/>
      <c r="BH1174" s="77"/>
      <c r="BI1174" s="77"/>
      <c r="BJ1174" s="77"/>
      <c r="BK1174" s="77"/>
      <c r="BL1174" s="77"/>
      <c r="BM1174" s="77"/>
      <c r="BN1174" s="158"/>
      <c r="BO1174" s="158"/>
    </row>
    <row r="1175" spans="1:67" ht="15" x14ac:dyDescent="0.25">
      <c r="A1175" s="71"/>
      <c r="B1175" s="11"/>
      <c r="C1175" s="11"/>
      <c r="D1175" s="11"/>
      <c r="E1175" s="11"/>
      <c r="F1175" s="11"/>
      <c r="G1175" s="11"/>
      <c r="H1175" s="11"/>
      <c r="I1175" s="11"/>
      <c r="J1175" s="249"/>
      <c r="K1175" s="73"/>
      <c r="L1175" s="75"/>
      <c r="M1175" s="73"/>
      <c r="N1175" s="74"/>
      <c r="O1175" s="75"/>
      <c r="P1175" s="73"/>
      <c r="Q1175" s="76"/>
      <c r="R1175" s="76"/>
      <c r="S1175" s="76"/>
      <c r="T1175" s="76"/>
      <c r="U1175" s="76"/>
      <c r="V1175" s="76"/>
      <c r="W1175" s="76"/>
      <c r="X1175" s="76"/>
      <c r="Y1175" s="76"/>
      <c r="Z1175" s="77"/>
      <c r="AA1175" s="77"/>
      <c r="AB1175" s="77"/>
      <c r="AC1175" s="77"/>
      <c r="AD1175" s="77"/>
      <c r="AE1175" s="77"/>
      <c r="AF1175" s="77"/>
      <c r="AG1175" s="77"/>
      <c r="AH1175" s="78"/>
      <c r="AI1175" s="78"/>
      <c r="AJ1175" s="78"/>
      <c r="AK1175" s="78"/>
      <c r="AL1175" s="78"/>
      <c r="AM1175" s="78"/>
      <c r="AN1175" s="76"/>
      <c r="AO1175" s="76"/>
      <c r="AP1175" s="76"/>
      <c r="AQ1175" s="76"/>
      <c r="AR1175" s="76"/>
      <c r="AS1175" s="76"/>
      <c r="AT1175" s="76"/>
      <c r="AU1175" s="76"/>
      <c r="AV1175" s="76"/>
      <c r="AW1175" s="79"/>
      <c r="AX1175" s="79"/>
      <c r="AY1175" s="79"/>
      <c r="AZ1175" s="79"/>
      <c r="BA1175" s="79"/>
      <c r="BB1175" s="11"/>
      <c r="BC1175" s="11"/>
      <c r="BD1175" s="11"/>
      <c r="BE1175" s="73"/>
      <c r="BF1175" s="73"/>
      <c r="BG1175" s="73"/>
      <c r="BH1175" s="77"/>
      <c r="BI1175" s="77"/>
      <c r="BJ1175" s="77"/>
      <c r="BK1175" s="77"/>
      <c r="BL1175" s="77"/>
      <c r="BM1175" s="77"/>
      <c r="BN1175" s="158"/>
      <c r="BO1175" s="158"/>
    </row>
    <row r="1176" spans="1:67" ht="15" x14ac:dyDescent="0.25">
      <c r="A1176" s="71"/>
      <c r="B1176" s="11"/>
      <c r="C1176" s="11"/>
      <c r="D1176" s="11"/>
      <c r="E1176" s="11"/>
      <c r="F1176" s="11"/>
      <c r="G1176" s="11"/>
      <c r="H1176" s="11"/>
      <c r="I1176" s="11"/>
      <c r="J1176" s="249"/>
      <c r="K1176" s="73"/>
      <c r="L1176" s="75"/>
      <c r="M1176" s="73"/>
      <c r="N1176" s="74"/>
      <c r="O1176" s="75"/>
      <c r="P1176" s="73"/>
      <c r="Q1176" s="76"/>
      <c r="R1176" s="76"/>
      <c r="S1176" s="76"/>
      <c r="T1176" s="76"/>
      <c r="U1176" s="76"/>
      <c r="V1176" s="76"/>
      <c r="W1176" s="76"/>
      <c r="X1176" s="76"/>
      <c r="Y1176" s="76"/>
      <c r="Z1176" s="77"/>
      <c r="AA1176" s="77"/>
      <c r="AB1176" s="77"/>
      <c r="AC1176" s="77"/>
      <c r="AD1176" s="77"/>
      <c r="AE1176" s="77"/>
      <c r="AF1176" s="77"/>
      <c r="AG1176" s="77"/>
      <c r="AH1176" s="78"/>
      <c r="AI1176" s="78"/>
      <c r="AJ1176" s="78"/>
      <c r="AK1176" s="78"/>
      <c r="AL1176" s="78"/>
      <c r="AM1176" s="78"/>
      <c r="AN1176" s="76"/>
      <c r="AO1176" s="76"/>
      <c r="AP1176" s="76"/>
      <c r="AQ1176" s="76"/>
      <c r="AR1176" s="76"/>
      <c r="AS1176" s="76"/>
      <c r="AT1176" s="76"/>
      <c r="AU1176" s="76"/>
      <c r="AV1176" s="76"/>
      <c r="AW1176" s="79"/>
      <c r="AX1176" s="79"/>
      <c r="AY1176" s="79"/>
      <c r="AZ1176" s="79"/>
      <c r="BA1176" s="79"/>
      <c r="BB1176" s="11"/>
      <c r="BC1176" s="11"/>
      <c r="BD1176" s="11"/>
      <c r="BE1176" s="73"/>
      <c r="BF1176" s="73"/>
      <c r="BG1176" s="73"/>
      <c r="BH1176" s="77"/>
      <c r="BI1176" s="77"/>
      <c r="BJ1176" s="77"/>
      <c r="BK1176" s="77"/>
      <c r="BL1176" s="77"/>
      <c r="BM1176" s="77"/>
      <c r="BN1176" s="158"/>
      <c r="BO1176" s="158"/>
    </row>
    <row r="1177" spans="1:67" ht="15" x14ac:dyDescent="0.25">
      <c r="A1177" s="71"/>
      <c r="B1177" s="11"/>
      <c r="C1177" s="11"/>
      <c r="D1177" s="11"/>
      <c r="E1177" s="11"/>
      <c r="F1177" s="11"/>
      <c r="G1177" s="11"/>
      <c r="H1177" s="11"/>
      <c r="I1177" s="11"/>
      <c r="J1177" s="249"/>
      <c r="K1177" s="73"/>
      <c r="L1177" s="75"/>
      <c r="M1177" s="73"/>
      <c r="N1177" s="74"/>
      <c r="O1177" s="75"/>
      <c r="P1177" s="73"/>
      <c r="Q1177" s="76"/>
      <c r="R1177" s="76"/>
      <c r="S1177" s="76"/>
      <c r="T1177" s="76"/>
      <c r="U1177" s="76"/>
      <c r="V1177" s="76"/>
      <c r="W1177" s="76"/>
      <c r="X1177" s="76"/>
      <c r="Y1177" s="76"/>
      <c r="Z1177" s="77"/>
      <c r="AA1177" s="77"/>
      <c r="AB1177" s="77"/>
      <c r="AC1177" s="77"/>
      <c r="AD1177" s="77"/>
      <c r="AE1177" s="77"/>
      <c r="AF1177" s="77"/>
      <c r="AG1177" s="77"/>
      <c r="AH1177" s="78"/>
      <c r="AI1177" s="78"/>
      <c r="AJ1177" s="78"/>
      <c r="AK1177" s="78"/>
      <c r="AL1177" s="78"/>
      <c r="AM1177" s="78"/>
      <c r="AN1177" s="76"/>
      <c r="AO1177" s="76"/>
      <c r="AP1177" s="76"/>
      <c r="AQ1177" s="76"/>
      <c r="AR1177" s="76"/>
      <c r="AS1177" s="76"/>
      <c r="AT1177" s="76"/>
      <c r="AU1177" s="76"/>
      <c r="AV1177" s="76"/>
      <c r="AW1177" s="79"/>
      <c r="AX1177" s="79"/>
      <c r="AY1177" s="79"/>
      <c r="AZ1177" s="79"/>
      <c r="BA1177" s="79"/>
      <c r="BB1177" s="11"/>
      <c r="BC1177" s="11"/>
      <c r="BD1177" s="11"/>
      <c r="BE1177" s="73"/>
      <c r="BF1177" s="73"/>
      <c r="BG1177" s="73"/>
      <c r="BH1177" s="77"/>
      <c r="BI1177" s="77"/>
      <c r="BJ1177" s="77"/>
      <c r="BK1177" s="77"/>
      <c r="BL1177" s="77"/>
      <c r="BM1177" s="77"/>
      <c r="BN1177" s="158"/>
      <c r="BO1177" s="158"/>
    </row>
    <row r="1178" spans="1:67" ht="15" x14ac:dyDescent="0.25">
      <c r="A1178" s="71"/>
      <c r="B1178" s="11"/>
      <c r="C1178" s="11"/>
      <c r="D1178" s="11"/>
      <c r="E1178" s="11"/>
      <c r="F1178" s="11"/>
      <c r="G1178" s="11"/>
      <c r="H1178" s="11"/>
      <c r="I1178" s="11"/>
      <c r="J1178" s="249"/>
      <c r="K1178" s="73"/>
      <c r="L1178" s="75"/>
      <c r="M1178" s="73"/>
      <c r="N1178" s="74"/>
      <c r="O1178" s="75"/>
      <c r="P1178" s="73"/>
      <c r="Q1178" s="76"/>
      <c r="R1178" s="76"/>
      <c r="S1178" s="76"/>
      <c r="T1178" s="76"/>
      <c r="U1178" s="76"/>
      <c r="V1178" s="76"/>
      <c r="W1178" s="76"/>
      <c r="X1178" s="76"/>
      <c r="Y1178" s="76"/>
      <c r="Z1178" s="77"/>
      <c r="AA1178" s="77"/>
      <c r="AB1178" s="77"/>
      <c r="AC1178" s="77"/>
      <c r="AD1178" s="77"/>
      <c r="AE1178" s="77"/>
      <c r="AF1178" s="77"/>
      <c r="AG1178" s="77"/>
      <c r="AH1178" s="78"/>
      <c r="AI1178" s="78"/>
      <c r="AJ1178" s="78"/>
      <c r="AK1178" s="78"/>
      <c r="AL1178" s="78"/>
      <c r="AM1178" s="78"/>
      <c r="AN1178" s="76"/>
      <c r="AO1178" s="76"/>
      <c r="AP1178" s="76"/>
      <c r="AQ1178" s="76"/>
      <c r="AR1178" s="76"/>
      <c r="AS1178" s="76"/>
      <c r="AT1178" s="76"/>
      <c r="AU1178" s="76"/>
      <c r="AV1178" s="76"/>
      <c r="AW1178" s="79"/>
      <c r="AX1178" s="79"/>
      <c r="AY1178" s="79"/>
      <c r="AZ1178" s="79"/>
      <c r="BA1178" s="79"/>
      <c r="BB1178" s="11"/>
      <c r="BC1178" s="11"/>
      <c r="BD1178" s="11"/>
      <c r="BE1178" s="73"/>
      <c r="BF1178" s="73"/>
      <c r="BG1178" s="73"/>
      <c r="BH1178" s="77"/>
      <c r="BI1178" s="77"/>
      <c r="BJ1178" s="77"/>
      <c r="BK1178" s="77"/>
      <c r="BL1178" s="77"/>
      <c r="BM1178" s="77"/>
      <c r="BN1178" s="158"/>
      <c r="BO1178" s="158"/>
    </row>
    <row r="1179" spans="1:67" ht="15" x14ac:dyDescent="0.25">
      <c r="A1179" s="71"/>
      <c r="B1179" s="11"/>
      <c r="C1179" s="11"/>
      <c r="D1179" s="11"/>
      <c r="E1179" s="11"/>
      <c r="F1179" s="11"/>
      <c r="G1179" s="11"/>
      <c r="H1179" s="11"/>
      <c r="I1179" s="11"/>
      <c r="J1179" s="249"/>
      <c r="K1179" s="73"/>
      <c r="L1179" s="75"/>
      <c r="M1179" s="73"/>
      <c r="N1179" s="74"/>
      <c r="O1179" s="75"/>
      <c r="P1179" s="73"/>
      <c r="Q1179" s="76"/>
      <c r="R1179" s="76"/>
      <c r="S1179" s="76"/>
      <c r="T1179" s="76"/>
      <c r="U1179" s="76"/>
      <c r="V1179" s="76"/>
      <c r="W1179" s="76"/>
      <c r="X1179" s="76"/>
      <c r="Y1179" s="76"/>
      <c r="Z1179" s="77"/>
      <c r="AA1179" s="77"/>
      <c r="AB1179" s="77"/>
      <c r="AC1179" s="77"/>
      <c r="AD1179" s="77"/>
      <c r="AE1179" s="77"/>
      <c r="AF1179" s="77"/>
      <c r="AG1179" s="77"/>
      <c r="AH1179" s="78"/>
      <c r="AI1179" s="78"/>
      <c r="AJ1179" s="78"/>
      <c r="AK1179" s="78"/>
      <c r="AL1179" s="78"/>
      <c r="AM1179" s="78"/>
      <c r="AN1179" s="76"/>
      <c r="AO1179" s="76"/>
      <c r="AP1179" s="76"/>
      <c r="AQ1179" s="76"/>
      <c r="AR1179" s="76"/>
      <c r="AS1179" s="76"/>
      <c r="AT1179" s="76"/>
      <c r="AU1179" s="76"/>
      <c r="AV1179" s="76"/>
      <c r="AW1179" s="79"/>
      <c r="AX1179" s="79"/>
      <c r="AY1179" s="79"/>
      <c r="AZ1179" s="79"/>
      <c r="BA1179" s="79"/>
      <c r="BB1179" s="11"/>
      <c r="BC1179" s="11"/>
      <c r="BD1179" s="11"/>
      <c r="BE1179" s="73"/>
      <c r="BF1179" s="73"/>
      <c r="BG1179" s="73"/>
      <c r="BH1179" s="77"/>
      <c r="BI1179" s="77"/>
      <c r="BJ1179" s="77"/>
      <c r="BK1179" s="77"/>
      <c r="BL1179" s="77"/>
      <c r="BM1179" s="77"/>
      <c r="BN1179" s="158"/>
      <c r="BO1179" s="158"/>
    </row>
    <row r="1180" spans="1:67" ht="15" x14ac:dyDescent="0.25">
      <c r="A1180" s="71"/>
      <c r="B1180" s="11"/>
      <c r="C1180" s="11"/>
      <c r="D1180" s="11"/>
      <c r="E1180" s="11"/>
      <c r="F1180" s="11"/>
      <c r="G1180" s="11"/>
      <c r="H1180" s="11"/>
      <c r="I1180" s="11"/>
      <c r="J1180" s="249"/>
      <c r="K1180" s="73"/>
      <c r="L1180" s="75"/>
      <c r="M1180" s="73"/>
      <c r="N1180" s="74"/>
      <c r="O1180" s="75"/>
      <c r="P1180" s="73"/>
      <c r="Q1180" s="76"/>
      <c r="R1180" s="76"/>
      <c r="S1180" s="76"/>
      <c r="T1180" s="76"/>
      <c r="U1180" s="76"/>
      <c r="V1180" s="76"/>
      <c r="W1180" s="76"/>
      <c r="X1180" s="76"/>
      <c r="Y1180" s="76"/>
      <c r="Z1180" s="77"/>
      <c r="AA1180" s="77"/>
      <c r="AB1180" s="77"/>
      <c r="AC1180" s="77"/>
      <c r="AD1180" s="77"/>
      <c r="AE1180" s="77"/>
      <c r="AF1180" s="77"/>
      <c r="AG1180" s="77"/>
      <c r="AH1180" s="78"/>
      <c r="AI1180" s="78"/>
      <c r="AJ1180" s="78"/>
      <c r="AK1180" s="78"/>
      <c r="AL1180" s="78"/>
      <c r="AM1180" s="78"/>
      <c r="AN1180" s="76"/>
      <c r="AO1180" s="76"/>
      <c r="AP1180" s="76"/>
      <c r="AQ1180" s="76"/>
      <c r="AR1180" s="76"/>
      <c r="AS1180" s="76"/>
      <c r="AT1180" s="76"/>
      <c r="AU1180" s="76"/>
      <c r="AV1180" s="76"/>
      <c r="AW1180" s="79"/>
      <c r="AX1180" s="79"/>
      <c r="AY1180" s="79"/>
      <c r="AZ1180" s="79"/>
      <c r="BA1180" s="79"/>
      <c r="BB1180" s="11"/>
      <c r="BC1180" s="11"/>
      <c r="BD1180" s="11"/>
      <c r="BE1180" s="73"/>
      <c r="BF1180" s="73"/>
      <c r="BG1180" s="73"/>
      <c r="BH1180" s="77"/>
      <c r="BI1180" s="77"/>
      <c r="BJ1180" s="77"/>
      <c r="BK1180" s="77"/>
      <c r="BL1180" s="77"/>
      <c r="BM1180" s="77"/>
      <c r="BN1180" s="158"/>
      <c r="BO1180" s="158"/>
    </row>
    <row r="1181" spans="1:67" ht="15" x14ac:dyDescent="0.25">
      <c r="A1181" s="71"/>
      <c r="B1181" s="11"/>
      <c r="C1181" s="11"/>
      <c r="D1181" s="11"/>
      <c r="E1181" s="11"/>
      <c r="F1181" s="11"/>
      <c r="G1181" s="11"/>
      <c r="H1181" s="11"/>
      <c r="I1181" s="11"/>
      <c r="J1181" s="249"/>
      <c r="K1181" s="73"/>
      <c r="L1181" s="75"/>
      <c r="M1181" s="73"/>
      <c r="N1181" s="74"/>
      <c r="O1181" s="75"/>
      <c r="P1181" s="73"/>
      <c r="Q1181" s="76"/>
      <c r="R1181" s="76"/>
      <c r="S1181" s="76"/>
      <c r="T1181" s="76"/>
      <c r="U1181" s="76"/>
      <c r="V1181" s="76"/>
      <c r="W1181" s="76"/>
      <c r="X1181" s="76"/>
      <c r="Y1181" s="76"/>
      <c r="Z1181" s="77"/>
      <c r="AA1181" s="77"/>
      <c r="AB1181" s="77"/>
      <c r="AC1181" s="77"/>
      <c r="AD1181" s="77"/>
      <c r="AE1181" s="77"/>
      <c r="AF1181" s="77"/>
      <c r="AG1181" s="77"/>
      <c r="AH1181" s="78"/>
      <c r="AI1181" s="78"/>
      <c r="AJ1181" s="78"/>
      <c r="AK1181" s="78"/>
      <c r="AL1181" s="78"/>
      <c r="AM1181" s="78"/>
      <c r="AN1181" s="76"/>
      <c r="AO1181" s="76"/>
      <c r="AP1181" s="76"/>
      <c r="AQ1181" s="76"/>
      <c r="AR1181" s="76"/>
      <c r="AS1181" s="76"/>
      <c r="AT1181" s="76"/>
      <c r="AU1181" s="76"/>
      <c r="AV1181" s="76"/>
      <c r="AW1181" s="79"/>
      <c r="AX1181" s="79"/>
      <c r="AY1181" s="79"/>
      <c r="AZ1181" s="79"/>
      <c r="BA1181" s="79"/>
      <c r="BB1181" s="11"/>
      <c r="BC1181" s="11"/>
      <c r="BD1181" s="11"/>
      <c r="BE1181" s="73"/>
      <c r="BF1181" s="73"/>
      <c r="BG1181" s="73"/>
      <c r="BH1181" s="77"/>
      <c r="BI1181" s="77"/>
      <c r="BJ1181" s="77"/>
      <c r="BK1181" s="77"/>
      <c r="BL1181" s="77"/>
      <c r="BM1181" s="77"/>
      <c r="BN1181" s="158"/>
      <c r="BO1181" s="158"/>
    </row>
    <row r="1182" spans="1:67" ht="15" x14ac:dyDescent="0.25">
      <c r="A1182" s="71"/>
      <c r="B1182" s="11"/>
      <c r="C1182" s="11"/>
      <c r="D1182" s="11"/>
      <c r="E1182" s="11"/>
      <c r="F1182" s="11"/>
      <c r="G1182" s="11"/>
      <c r="H1182" s="11"/>
      <c r="I1182" s="11"/>
      <c r="J1182" s="249"/>
      <c r="K1182" s="73"/>
      <c r="L1182" s="75"/>
      <c r="M1182" s="73"/>
      <c r="N1182" s="74"/>
      <c r="O1182" s="75"/>
      <c r="P1182" s="73"/>
      <c r="Q1182" s="76"/>
      <c r="R1182" s="76"/>
      <c r="S1182" s="76"/>
      <c r="T1182" s="76"/>
      <c r="U1182" s="76"/>
      <c r="V1182" s="76"/>
      <c r="W1182" s="76"/>
      <c r="X1182" s="76"/>
      <c r="Y1182" s="76"/>
      <c r="Z1182" s="77"/>
      <c r="AA1182" s="77"/>
      <c r="AB1182" s="77"/>
      <c r="AC1182" s="77"/>
      <c r="AD1182" s="77"/>
      <c r="AE1182" s="77"/>
      <c r="AF1182" s="77"/>
      <c r="AG1182" s="77"/>
      <c r="AH1182" s="78"/>
      <c r="AI1182" s="78"/>
      <c r="AJ1182" s="78"/>
      <c r="AK1182" s="78"/>
      <c r="AL1182" s="78"/>
      <c r="AM1182" s="78"/>
      <c r="AN1182" s="76"/>
      <c r="AO1182" s="76"/>
      <c r="AP1182" s="76"/>
      <c r="AQ1182" s="76"/>
      <c r="AR1182" s="76"/>
      <c r="AS1182" s="76"/>
      <c r="AT1182" s="76"/>
      <c r="AU1182" s="76"/>
      <c r="AV1182" s="76"/>
      <c r="AW1182" s="79"/>
      <c r="AX1182" s="79"/>
      <c r="AY1182" s="79"/>
      <c r="AZ1182" s="79"/>
      <c r="BA1182" s="79"/>
      <c r="BB1182" s="11"/>
      <c r="BC1182" s="11"/>
      <c r="BD1182" s="11"/>
      <c r="BE1182" s="73"/>
      <c r="BF1182" s="73"/>
      <c r="BG1182" s="73"/>
      <c r="BH1182" s="77"/>
      <c r="BI1182" s="77"/>
      <c r="BJ1182" s="77"/>
      <c r="BK1182" s="77"/>
      <c r="BL1182" s="77"/>
      <c r="BM1182" s="77"/>
      <c r="BN1182" s="158"/>
      <c r="BO1182" s="158"/>
    </row>
    <row r="1183" spans="1:67" ht="15" x14ac:dyDescent="0.25">
      <c r="A1183" s="71"/>
      <c r="B1183" s="11"/>
      <c r="C1183" s="11"/>
      <c r="D1183" s="11"/>
      <c r="E1183" s="11"/>
      <c r="F1183" s="11"/>
      <c r="G1183" s="11"/>
      <c r="H1183" s="11"/>
      <c r="I1183" s="11"/>
      <c r="J1183" s="249"/>
      <c r="K1183" s="73"/>
      <c r="L1183" s="75"/>
      <c r="M1183" s="73"/>
      <c r="N1183" s="74"/>
      <c r="O1183" s="75"/>
      <c r="P1183" s="73"/>
      <c r="Q1183" s="76"/>
      <c r="R1183" s="76"/>
      <c r="S1183" s="76"/>
      <c r="T1183" s="76"/>
      <c r="U1183" s="76"/>
      <c r="V1183" s="76"/>
      <c r="W1183" s="76"/>
      <c r="X1183" s="76"/>
      <c r="Y1183" s="76"/>
      <c r="Z1183" s="77"/>
      <c r="AA1183" s="77"/>
      <c r="AB1183" s="77"/>
      <c r="AC1183" s="77"/>
      <c r="AD1183" s="77"/>
      <c r="AE1183" s="77"/>
      <c r="AF1183" s="77"/>
      <c r="AG1183" s="77"/>
      <c r="AH1183" s="78"/>
      <c r="AI1183" s="78"/>
      <c r="AJ1183" s="78"/>
      <c r="AK1183" s="78"/>
      <c r="AL1183" s="78"/>
      <c r="AM1183" s="78"/>
      <c r="AN1183" s="76"/>
      <c r="AO1183" s="76"/>
      <c r="AP1183" s="76"/>
      <c r="AQ1183" s="76"/>
      <c r="AR1183" s="76"/>
      <c r="AS1183" s="76"/>
      <c r="AT1183" s="76"/>
      <c r="AU1183" s="76"/>
      <c r="AV1183" s="76"/>
      <c r="AW1183" s="79"/>
      <c r="AX1183" s="79"/>
      <c r="AY1183" s="79"/>
      <c r="AZ1183" s="79"/>
      <c r="BA1183" s="79"/>
      <c r="BB1183" s="11"/>
      <c r="BC1183" s="11"/>
      <c r="BD1183" s="11"/>
      <c r="BE1183" s="73"/>
      <c r="BF1183" s="73"/>
      <c r="BG1183" s="73"/>
      <c r="BH1183" s="77"/>
      <c r="BI1183" s="77"/>
      <c r="BJ1183" s="77"/>
      <c r="BK1183" s="77"/>
      <c r="BL1183" s="77"/>
      <c r="BM1183" s="77"/>
      <c r="BN1183" s="158"/>
      <c r="BO1183" s="158"/>
    </row>
    <row r="1184" spans="1:67" ht="15" x14ac:dyDescent="0.25">
      <c r="A1184" s="71"/>
      <c r="B1184" s="11"/>
      <c r="C1184" s="11"/>
      <c r="D1184" s="11"/>
      <c r="E1184" s="11"/>
      <c r="F1184" s="11"/>
      <c r="G1184" s="11"/>
      <c r="H1184" s="11"/>
      <c r="I1184" s="11"/>
      <c r="J1184" s="249"/>
      <c r="K1184" s="73"/>
      <c r="L1184" s="75"/>
      <c r="M1184" s="73"/>
      <c r="N1184" s="74"/>
      <c r="O1184" s="75"/>
      <c r="P1184" s="73"/>
      <c r="Q1184" s="76"/>
      <c r="R1184" s="76"/>
      <c r="S1184" s="76"/>
      <c r="T1184" s="76"/>
      <c r="U1184" s="76"/>
      <c r="V1184" s="76"/>
      <c r="W1184" s="76"/>
      <c r="X1184" s="76"/>
      <c r="Y1184" s="76"/>
      <c r="Z1184" s="77"/>
      <c r="AA1184" s="77"/>
      <c r="AB1184" s="77"/>
      <c r="AC1184" s="77"/>
      <c r="AD1184" s="77"/>
      <c r="AE1184" s="77"/>
      <c r="AF1184" s="77"/>
      <c r="AG1184" s="77"/>
      <c r="AH1184" s="78"/>
      <c r="AI1184" s="78"/>
      <c r="AJ1184" s="78"/>
      <c r="AK1184" s="78"/>
      <c r="AL1184" s="78"/>
      <c r="AM1184" s="78"/>
      <c r="AN1184" s="76"/>
      <c r="AO1184" s="76"/>
      <c r="AP1184" s="76"/>
      <c r="AQ1184" s="76"/>
      <c r="AR1184" s="76"/>
      <c r="AS1184" s="76"/>
      <c r="AT1184" s="76"/>
      <c r="AU1184" s="76"/>
      <c r="AV1184" s="76"/>
      <c r="AW1184" s="79"/>
      <c r="AX1184" s="79"/>
      <c r="AY1184" s="79"/>
      <c r="AZ1184" s="79"/>
      <c r="BA1184" s="79"/>
      <c r="BB1184" s="11"/>
      <c r="BC1184" s="11"/>
      <c r="BD1184" s="11"/>
      <c r="BE1184" s="73"/>
      <c r="BF1184" s="73"/>
      <c r="BG1184" s="73"/>
      <c r="BH1184" s="77"/>
      <c r="BI1184" s="77"/>
      <c r="BJ1184" s="77"/>
      <c r="BK1184" s="77"/>
      <c r="BL1184" s="77"/>
      <c r="BM1184" s="77"/>
      <c r="BN1184" s="158"/>
      <c r="BO1184" s="158"/>
    </row>
    <row r="1185" spans="1:67" ht="15" x14ac:dyDescent="0.25">
      <c r="A1185" s="71"/>
      <c r="B1185" s="11"/>
      <c r="C1185" s="11"/>
      <c r="D1185" s="11"/>
      <c r="E1185" s="11"/>
      <c r="F1185" s="11"/>
      <c r="G1185" s="11"/>
      <c r="H1185" s="11"/>
      <c r="I1185" s="11"/>
      <c r="J1185" s="249"/>
      <c r="K1185" s="73"/>
      <c r="L1185" s="75"/>
      <c r="M1185" s="73"/>
      <c r="N1185" s="74"/>
      <c r="O1185" s="75"/>
      <c r="P1185" s="73"/>
      <c r="Q1185" s="76"/>
      <c r="R1185" s="76"/>
      <c r="S1185" s="76"/>
      <c r="T1185" s="76"/>
      <c r="U1185" s="76"/>
      <c r="V1185" s="76"/>
      <c r="W1185" s="76"/>
      <c r="X1185" s="76"/>
      <c r="Y1185" s="76"/>
      <c r="Z1185" s="77"/>
      <c r="AA1185" s="77"/>
      <c r="AB1185" s="77"/>
      <c r="AC1185" s="77"/>
      <c r="AD1185" s="77"/>
      <c r="AE1185" s="77"/>
      <c r="AF1185" s="77"/>
      <c r="AG1185" s="77"/>
      <c r="AH1185" s="78"/>
      <c r="AI1185" s="78"/>
      <c r="AJ1185" s="78"/>
      <c r="AK1185" s="78"/>
      <c r="AL1185" s="78"/>
      <c r="AM1185" s="78"/>
      <c r="AN1185" s="76"/>
      <c r="AO1185" s="76"/>
      <c r="AP1185" s="76"/>
      <c r="AQ1185" s="76"/>
      <c r="AR1185" s="76"/>
      <c r="AS1185" s="76"/>
      <c r="AT1185" s="76"/>
      <c r="AU1185" s="76"/>
      <c r="AV1185" s="76"/>
      <c r="AW1185" s="79"/>
      <c r="AX1185" s="79"/>
      <c r="AY1185" s="79"/>
      <c r="AZ1185" s="79"/>
      <c r="BA1185" s="79"/>
      <c r="BB1185" s="11"/>
      <c r="BC1185" s="11"/>
      <c r="BD1185" s="11"/>
      <c r="BE1185" s="73"/>
      <c r="BF1185" s="73"/>
      <c r="BG1185" s="73"/>
      <c r="BH1185" s="77"/>
      <c r="BI1185" s="77"/>
      <c r="BJ1185" s="77"/>
      <c r="BK1185" s="77"/>
      <c r="BL1185" s="77"/>
      <c r="BM1185" s="77"/>
      <c r="BN1185" s="158"/>
      <c r="BO1185" s="158"/>
    </row>
    <row r="1186" spans="1:67" ht="15" x14ac:dyDescent="0.25">
      <c r="A1186" s="71"/>
      <c r="B1186" s="11"/>
      <c r="C1186" s="11"/>
      <c r="D1186" s="11"/>
      <c r="E1186" s="11"/>
      <c r="F1186" s="11"/>
      <c r="G1186" s="11"/>
      <c r="H1186" s="11"/>
      <c r="I1186" s="11"/>
      <c r="J1186" s="249"/>
      <c r="K1186" s="73"/>
      <c r="L1186" s="75"/>
      <c r="M1186" s="73"/>
      <c r="N1186" s="74"/>
      <c r="O1186" s="75"/>
      <c r="P1186" s="73"/>
      <c r="Q1186" s="76"/>
      <c r="R1186" s="76"/>
      <c r="S1186" s="76"/>
      <c r="T1186" s="76"/>
      <c r="U1186" s="76"/>
      <c r="V1186" s="76"/>
      <c r="W1186" s="76"/>
      <c r="X1186" s="76"/>
      <c r="Y1186" s="76"/>
      <c r="Z1186" s="77"/>
      <c r="AA1186" s="77"/>
      <c r="AB1186" s="77"/>
      <c r="AC1186" s="77"/>
      <c r="AD1186" s="77"/>
      <c r="AE1186" s="77"/>
      <c r="AF1186" s="77"/>
      <c r="AG1186" s="77"/>
      <c r="AH1186" s="78"/>
      <c r="AI1186" s="78"/>
      <c r="AJ1186" s="78"/>
      <c r="AK1186" s="78"/>
      <c r="AL1186" s="78"/>
      <c r="AM1186" s="78"/>
      <c r="AN1186" s="76"/>
      <c r="AO1186" s="76"/>
      <c r="AP1186" s="76"/>
      <c r="AQ1186" s="76"/>
      <c r="AR1186" s="76"/>
      <c r="AS1186" s="76"/>
      <c r="AT1186" s="76"/>
      <c r="AU1186" s="76"/>
      <c r="AV1186" s="76"/>
      <c r="AW1186" s="79"/>
      <c r="AX1186" s="79"/>
      <c r="AY1186" s="79"/>
      <c r="AZ1186" s="79"/>
      <c r="BA1186" s="79"/>
      <c r="BB1186" s="11"/>
      <c r="BC1186" s="11"/>
      <c r="BD1186" s="11"/>
      <c r="BE1186" s="73"/>
      <c r="BF1186" s="73"/>
      <c r="BG1186" s="73"/>
      <c r="BH1186" s="77"/>
      <c r="BI1186" s="77"/>
      <c r="BJ1186" s="77"/>
      <c r="BK1186" s="77"/>
      <c r="BL1186" s="77"/>
      <c r="BM1186" s="77"/>
      <c r="BN1186" s="158"/>
      <c r="BO1186" s="158"/>
    </row>
    <row r="1187" spans="1:67" ht="15" x14ac:dyDescent="0.25">
      <c r="A1187" s="71"/>
      <c r="B1187" s="11"/>
      <c r="C1187" s="11"/>
      <c r="D1187" s="11"/>
      <c r="E1187" s="11"/>
      <c r="F1187" s="11"/>
      <c r="G1187" s="11"/>
      <c r="H1187" s="11"/>
      <c r="I1187" s="11"/>
      <c r="J1187" s="249"/>
      <c r="K1187" s="73"/>
      <c r="L1187" s="75"/>
      <c r="M1187" s="73"/>
      <c r="N1187" s="74"/>
      <c r="O1187" s="75"/>
      <c r="P1187" s="73"/>
      <c r="Q1187" s="76"/>
      <c r="R1187" s="76"/>
      <c r="S1187" s="76"/>
      <c r="T1187" s="76"/>
      <c r="U1187" s="76"/>
      <c r="V1187" s="76"/>
      <c r="W1187" s="76"/>
      <c r="X1187" s="76"/>
      <c r="Y1187" s="76"/>
      <c r="Z1187" s="77"/>
      <c r="AA1187" s="77"/>
      <c r="AB1187" s="77"/>
      <c r="AC1187" s="77"/>
      <c r="AD1187" s="77"/>
      <c r="AE1187" s="77"/>
      <c r="AF1187" s="77"/>
      <c r="AG1187" s="77"/>
      <c r="AH1187" s="78"/>
      <c r="AI1187" s="78"/>
      <c r="AJ1187" s="78"/>
      <c r="AK1187" s="78"/>
      <c r="AL1187" s="78"/>
      <c r="AM1187" s="78"/>
      <c r="AN1187" s="76"/>
      <c r="AO1187" s="76"/>
      <c r="AP1187" s="76"/>
      <c r="AQ1187" s="76"/>
      <c r="AR1187" s="76"/>
      <c r="AS1187" s="76"/>
      <c r="AT1187" s="76"/>
      <c r="AU1187" s="76"/>
      <c r="AV1187" s="76"/>
      <c r="AW1187" s="79"/>
      <c r="AX1187" s="79"/>
      <c r="AY1187" s="79"/>
      <c r="AZ1187" s="79"/>
      <c r="BA1187" s="79"/>
      <c r="BB1187" s="11"/>
      <c r="BC1187" s="11"/>
      <c r="BD1187" s="11"/>
      <c r="BE1187" s="73"/>
      <c r="BF1187" s="73"/>
      <c r="BG1187" s="73"/>
      <c r="BH1187" s="77"/>
      <c r="BI1187" s="77"/>
      <c r="BJ1187" s="77"/>
      <c r="BK1187" s="77"/>
      <c r="BL1187" s="77"/>
      <c r="BM1187" s="77"/>
      <c r="BN1187" s="158"/>
      <c r="BO1187" s="158"/>
    </row>
    <row r="1188" spans="1:67" ht="15" x14ac:dyDescent="0.25">
      <c r="A1188" s="71"/>
      <c r="B1188" s="11"/>
      <c r="C1188" s="11"/>
      <c r="D1188" s="11"/>
      <c r="E1188" s="11"/>
      <c r="F1188" s="11"/>
      <c r="G1188" s="11"/>
      <c r="H1188" s="11"/>
      <c r="I1188" s="11"/>
      <c r="J1188" s="249"/>
      <c r="K1188" s="73"/>
      <c r="L1188" s="75"/>
      <c r="M1188" s="73"/>
      <c r="N1188" s="74"/>
      <c r="O1188" s="75"/>
      <c r="P1188" s="73"/>
      <c r="Q1188" s="76"/>
      <c r="R1188" s="76"/>
      <c r="S1188" s="76"/>
      <c r="T1188" s="76"/>
      <c r="U1188" s="76"/>
      <c r="V1188" s="76"/>
      <c r="W1188" s="76"/>
      <c r="X1188" s="76"/>
      <c r="Y1188" s="76"/>
      <c r="Z1188" s="77"/>
      <c r="AA1188" s="77"/>
      <c r="AB1188" s="77"/>
      <c r="AC1188" s="77"/>
      <c r="AD1188" s="77"/>
      <c r="AE1188" s="77"/>
      <c r="AF1188" s="77"/>
      <c r="AG1188" s="77"/>
      <c r="AH1188" s="78"/>
      <c r="AI1188" s="78"/>
      <c r="AJ1188" s="78"/>
      <c r="AK1188" s="78"/>
      <c r="AL1188" s="78"/>
      <c r="AM1188" s="78"/>
      <c r="AN1188" s="76"/>
      <c r="AO1188" s="76"/>
      <c r="AP1188" s="76"/>
      <c r="AQ1188" s="76"/>
      <c r="AR1188" s="76"/>
      <c r="AS1188" s="76"/>
      <c r="AT1188" s="76"/>
      <c r="AU1188" s="76"/>
      <c r="AV1188" s="76"/>
      <c r="AW1188" s="79"/>
      <c r="AX1188" s="79"/>
      <c r="AY1188" s="79"/>
      <c r="AZ1188" s="79"/>
      <c r="BA1188" s="79"/>
      <c r="BB1188" s="11"/>
      <c r="BC1188" s="11"/>
      <c r="BD1188" s="11"/>
      <c r="BE1188" s="73"/>
      <c r="BF1188" s="73"/>
      <c r="BG1188" s="73"/>
      <c r="BH1188" s="77"/>
      <c r="BI1188" s="77"/>
      <c r="BJ1188" s="77"/>
      <c r="BK1188" s="77"/>
      <c r="BL1188" s="77"/>
      <c r="BM1188" s="77"/>
      <c r="BN1188" s="158"/>
      <c r="BO1188" s="158"/>
    </row>
    <row r="1189" spans="1:67" ht="15" x14ac:dyDescent="0.25">
      <c r="A1189" s="71"/>
      <c r="B1189" s="11"/>
      <c r="C1189" s="11"/>
      <c r="D1189" s="11"/>
      <c r="E1189" s="11"/>
      <c r="F1189" s="11"/>
      <c r="G1189" s="11"/>
      <c r="H1189" s="11"/>
      <c r="I1189" s="11"/>
      <c r="J1189" s="249"/>
      <c r="K1189" s="73"/>
      <c r="L1189" s="75"/>
      <c r="M1189" s="73"/>
      <c r="N1189" s="74"/>
      <c r="O1189" s="75"/>
      <c r="P1189" s="73"/>
      <c r="Q1189" s="76"/>
      <c r="R1189" s="76"/>
      <c r="S1189" s="76"/>
      <c r="T1189" s="76"/>
      <c r="U1189" s="76"/>
      <c r="V1189" s="76"/>
      <c r="W1189" s="76"/>
      <c r="X1189" s="76"/>
      <c r="Y1189" s="76"/>
      <c r="Z1189" s="77"/>
      <c r="AA1189" s="77"/>
      <c r="AB1189" s="77"/>
      <c r="AC1189" s="77"/>
      <c r="AD1189" s="77"/>
      <c r="AE1189" s="77"/>
      <c r="AF1189" s="77"/>
      <c r="AG1189" s="77"/>
      <c r="AH1189" s="78"/>
      <c r="AI1189" s="78"/>
      <c r="AJ1189" s="78"/>
      <c r="AK1189" s="78"/>
      <c r="AL1189" s="78"/>
      <c r="AM1189" s="78"/>
      <c r="AN1189" s="76"/>
      <c r="AO1189" s="76"/>
      <c r="AP1189" s="76"/>
      <c r="AQ1189" s="76"/>
      <c r="AR1189" s="76"/>
      <c r="AS1189" s="76"/>
      <c r="AT1189" s="76"/>
      <c r="AU1189" s="76"/>
      <c r="AV1189" s="76"/>
      <c r="AW1189" s="79"/>
      <c r="AX1189" s="79"/>
      <c r="AY1189" s="79"/>
      <c r="AZ1189" s="79"/>
      <c r="BA1189" s="79"/>
      <c r="BB1189" s="11"/>
      <c r="BC1189" s="11"/>
      <c r="BD1189" s="11"/>
      <c r="BE1189" s="73"/>
      <c r="BF1189" s="73"/>
      <c r="BG1189" s="73"/>
      <c r="BH1189" s="77"/>
      <c r="BI1189" s="77"/>
      <c r="BJ1189" s="77"/>
      <c r="BK1189" s="77"/>
      <c r="BL1189" s="77"/>
      <c r="BM1189" s="77"/>
      <c r="BN1189" s="158"/>
      <c r="BO1189" s="158"/>
    </row>
    <row r="1190" spans="1:67" ht="15" x14ac:dyDescent="0.25">
      <c r="A1190" s="71"/>
      <c r="B1190" s="11"/>
      <c r="C1190" s="11"/>
      <c r="D1190" s="11"/>
      <c r="E1190" s="11"/>
      <c r="F1190" s="11"/>
      <c r="G1190" s="11"/>
      <c r="H1190" s="11"/>
      <c r="I1190" s="11"/>
      <c r="J1190" s="249"/>
      <c r="K1190" s="73"/>
      <c r="L1190" s="75"/>
      <c r="M1190" s="73"/>
      <c r="N1190" s="74"/>
      <c r="O1190" s="75"/>
      <c r="P1190" s="73"/>
      <c r="Q1190" s="76"/>
      <c r="R1190" s="76"/>
      <c r="S1190" s="76"/>
      <c r="T1190" s="76"/>
      <c r="U1190" s="76"/>
      <c r="V1190" s="76"/>
      <c r="W1190" s="76"/>
      <c r="X1190" s="76"/>
      <c r="Y1190" s="76"/>
      <c r="Z1190" s="77"/>
      <c r="AA1190" s="77"/>
      <c r="AB1190" s="77"/>
      <c r="AC1190" s="77"/>
      <c r="AD1190" s="77"/>
      <c r="AE1190" s="77"/>
      <c r="AF1190" s="77"/>
      <c r="AG1190" s="77"/>
      <c r="AH1190" s="78"/>
      <c r="AI1190" s="78"/>
      <c r="AJ1190" s="78"/>
      <c r="AK1190" s="78"/>
      <c r="AL1190" s="78"/>
      <c r="AM1190" s="78"/>
      <c r="AN1190" s="76"/>
      <c r="AO1190" s="76"/>
      <c r="AP1190" s="76"/>
      <c r="AQ1190" s="76"/>
      <c r="AR1190" s="76"/>
      <c r="AS1190" s="76"/>
      <c r="AT1190" s="76"/>
      <c r="AU1190" s="76"/>
      <c r="AV1190" s="76"/>
      <c r="AW1190" s="79"/>
      <c r="AX1190" s="79"/>
      <c r="AY1190" s="79"/>
      <c r="AZ1190" s="79"/>
      <c r="BA1190" s="79"/>
      <c r="BB1190" s="11"/>
      <c r="BC1190" s="11"/>
      <c r="BD1190" s="11"/>
      <c r="BE1190" s="73"/>
      <c r="BF1190" s="73"/>
      <c r="BG1190" s="73"/>
      <c r="BH1190" s="77"/>
      <c r="BI1190" s="77"/>
      <c r="BJ1190" s="77"/>
      <c r="BK1190" s="77"/>
      <c r="BL1190" s="77"/>
      <c r="BM1190" s="77"/>
      <c r="BN1190" s="158"/>
      <c r="BO1190" s="158"/>
    </row>
    <row r="1191" spans="1:67" ht="15" x14ac:dyDescent="0.25">
      <c r="A1191" s="71"/>
      <c r="B1191" s="11"/>
      <c r="C1191" s="11"/>
      <c r="D1191" s="11"/>
      <c r="E1191" s="11"/>
      <c r="F1191" s="11"/>
      <c r="G1191" s="11"/>
      <c r="H1191" s="11"/>
      <c r="I1191" s="11"/>
      <c r="J1191" s="249"/>
      <c r="K1191" s="73"/>
      <c r="L1191" s="75"/>
      <c r="M1191" s="73"/>
      <c r="N1191" s="74"/>
      <c r="O1191" s="75"/>
      <c r="P1191" s="73"/>
      <c r="Q1191" s="76"/>
      <c r="R1191" s="76"/>
      <c r="S1191" s="76"/>
      <c r="T1191" s="76"/>
      <c r="U1191" s="76"/>
      <c r="V1191" s="76"/>
      <c r="W1191" s="76"/>
      <c r="X1191" s="76"/>
      <c r="Y1191" s="76"/>
      <c r="Z1191" s="77"/>
      <c r="AA1191" s="77"/>
      <c r="AB1191" s="77"/>
      <c r="AC1191" s="77"/>
      <c r="AD1191" s="77"/>
      <c r="AE1191" s="77"/>
      <c r="AF1191" s="77"/>
      <c r="AG1191" s="77"/>
      <c r="AH1191" s="78"/>
      <c r="AI1191" s="78"/>
      <c r="AJ1191" s="78"/>
      <c r="AK1191" s="78"/>
      <c r="AL1191" s="78"/>
      <c r="AM1191" s="78"/>
      <c r="AN1191" s="76"/>
      <c r="AO1191" s="76"/>
      <c r="AP1191" s="76"/>
      <c r="AQ1191" s="76"/>
      <c r="AR1191" s="76"/>
      <c r="AS1191" s="76"/>
      <c r="AT1191" s="76"/>
      <c r="AU1191" s="76"/>
      <c r="AV1191" s="76"/>
      <c r="AW1191" s="79"/>
      <c r="AX1191" s="79"/>
      <c r="AY1191" s="79"/>
      <c r="AZ1191" s="79"/>
      <c r="BA1191" s="79"/>
      <c r="BB1191" s="11"/>
      <c r="BC1191" s="11"/>
      <c r="BD1191" s="11"/>
      <c r="BE1191" s="73"/>
      <c r="BF1191" s="73"/>
      <c r="BG1191" s="73"/>
      <c r="BH1191" s="77"/>
      <c r="BI1191" s="77"/>
      <c r="BJ1191" s="77"/>
      <c r="BK1191" s="77"/>
      <c r="BL1191" s="77"/>
      <c r="BM1191" s="77"/>
      <c r="BN1191" s="158"/>
      <c r="BO1191" s="158"/>
    </row>
    <row r="1192" spans="1:67" ht="15" x14ac:dyDescent="0.25">
      <c r="A1192" s="71"/>
      <c r="B1192" s="11"/>
      <c r="C1192" s="11"/>
      <c r="D1192" s="11"/>
      <c r="E1192" s="11"/>
      <c r="F1192" s="11"/>
      <c r="G1192" s="11"/>
      <c r="H1192" s="11"/>
      <c r="I1192" s="11"/>
      <c r="J1192" s="249"/>
      <c r="K1192" s="73"/>
      <c r="L1192" s="75"/>
      <c r="M1192" s="73"/>
      <c r="N1192" s="74"/>
      <c r="O1192" s="75"/>
      <c r="P1192" s="73"/>
      <c r="Q1192" s="76"/>
      <c r="R1192" s="76"/>
      <c r="S1192" s="76"/>
      <c r="T1192" s="76"/>
      <c r="U1192" s="76"/>
      <c r="V1192" s="76"/>
      <c r="W1192" s="76"/>
      <c r="X1192" s="76"/>
      <c r="Y1192" s="76"/>
      <c r="Z1192" s="77"/>
      <c r="AA1192" s="77"/>
      <c r="AB1192" s="77"/>
      <c r="AC1192" s="77"/>
      <c r="AD1192" s="77"/>
      <c r="AE1192" s="77"/>
      <c r="AF1192" s="77"/>
      <c r="AG1192" s="77"/>
      <c r="AH1192" s="78"/>
      <c r="AI1192" s="78"/>
      <c r="AJ1192" s="78"/>
      <c r="AK1192" s="78"/>
      <c r="AL1192" s="78"/>
      <c r="AM1192" s="78"/>
      <c r="AN1192" s="76"/>
      <c r="AO1192" s="76"/>
      <c r="AP1192" s="76"/>
      <c r="AQ1192" s="76"/>
      <c r="AR1192" s="76"/>
      <c r="AS1192" s="76"/>
      <c r="AT1192" s="76"/>
      <c r="AU1192" s="76"/>
      <c r="AV1192" s="76"/>
      <c r="AW1192" s="79"/>
      <c r="AX1192" s="79"/>
      <c r="AY1192" s="79"/>
      <c r="AZ1192" s="79"/>
      <c r="BA1192" s="79"/>
      <c r="BB1192" s="11"/>
      <c r="BC1192" s="11"/>
      <c r="BD1192" s="11"/>
      <c r="BE1192" s="73"/>
      <c r="BF1192" s="73"/>
      <c r="BG1192" s="73"/>
      <c r="BH1192" s="77"/>
      <c r="BI1192" s="77"/>
      <c r="BJ1192" s="77"/>
      <c r="BK1192" s="77"/>
      <c r="BL1192" s="77"/>
      <c r="BM1192" s="77"/>
      <c r="BN1192" s="158"/>
      <c r="BO1192" s="158"/>
    </row>
    <row r="1193" spans="1:67" ht="15" x14ac:dyDescent="0.25">
      <c r="A1193" s="71"/>
      <c r="B1193" s="11"/>
      <c r="C1193" s="11"/>
      <c r="D1193" s="11"/>
      <c r="E1193" s="11"/>
      <c r="F1193" s="11"/>
      <c r="G1193" s="11"/>
      <c r="H1193" s="11"/>
      <c r="I1193" s="11"/>
      <c r="J1193" s="249"/>
      <c r="K1193" s="73"/>
      <c r="L1193" s="75"/>
      <c r="M1193" s="73"/>
      <c r="N1193" s="74"/>
      <c r="O1193" s="75"/>
      <c r="P1193" s="73"/>
      <c r="Q1193" s="76"/>
      <c r="R1193" s="76"/>
      <c r="S1193" s="76"/>
      <c r="T1193" s="76"/>
      <c r="U1193" s="76"/>
      <c r="V1193" s="76"/>
      <c r="W1193" s="76"/>
      <c r="X1193" s="76"/>
      <c r="Y1193" s="76"/>
      <c r="Z1193" s="77"/>
      <c r="AA1193" s="77"/>
      <c r="AB1193" s="77"/>
      <c r="AC1193" s="77"/>
      <c r="AD1193" s="77"/>
      <c r="AE1193" s="77"/>
      <c r="AF1193" s="77"/>
      <c r="AG1193" s="77"/>
      <c r="AH1193" s="78"/>
      <c r="AI1193" s="78"/>
      <c r="AJ1193" s="78"/>
      <c r="AK1193" s="78"/>
      <c r="AL1193" s="78"/>
      <c r="AM1193" s="78"/>
      <c r="AN1193" s="76"/>
      <c r="AO1193" s="76"/>
      <c r="AP1193" s="76"/>
      <c r="AQ1193" s="76"/>
      <c r="AR1193" s="76"/>
      <c r="AS1193" s="76"/>
      <c r="AT1193" s="76"/>
      <c r="AU1193" s="76"/>
      <c r="AV1193" s="76"/>
      <c r="AW1193" s="79"/>
      <c r="AX1193" s="79"/>
      <c r="AY1193" s="79"/>
      <c r="AZ1193" s="79"/>
      <c r="BA1193" s="79"/>
      <c r="BB1193" s="11"/>
      <c r="BC1193" s="11"/>
      <c r="BD1193" s="11"/>
      <c r="BE1193" s="73"/>
      <c r="BF1193" s="73"/>
      <c r="BG1193" s="73"/>
      <c r="BH1193" s="77"/>
      <c r="BI1193" s="77"/>
      <c r="BJ1193" s="77"/>
      <c r="BK1193" s="77"/>
      <c r="BL1193" s="77"/>
      <c r="BM1193" s="77"/>
      <c r="BN1193" s="158"/>
      <c r="BO1193" s="158"/>
    </row>
    <row r="1194" spans="1:67" ht="15" x14ac:dyDescent="0.25">
      <c r="A1194" s="71"/>
      <c r="B1194" s="11"/>
      <c r="C1194" s="11"/>
      <c r="D1194" s="11"/>
      <c r="E1194" s="11"/>
      <c r="F1194" s="11"/>
      <c r="G1194" s="11"/>
      <c r="H1194" s="11"/>
      <c r="I1194" s="11"/>
      <c r="J1194" s="249"/>
      <c r="K1194" s="73"/>
      <c r="L1194" s="75"/>
      <c r="M1194" s="73"/>
      <c r="N1194" s="74"/>
      <c r="O1194" s="75"/>
      <c r="P1194" s="73"/>
      <c r="Q1194" s="76"/>
      <c r="R1194" s="76"/>
      <c r="S1194" s="76"/>
      <c r="T1194" s="76"/>
      <c r="U1194" s="76"/>
      <c r="V1194" s="76"/>
      <c r="W1194" s="76"/>
      <c r="X1194" s="76"/>
      <c r="Y1194" s="76"/>
      <c r="Z1194" s="77"/>
      <c r="AA1194" s="77"/>
      <c r="AB1194" s="77"/>
      <c r="AC1194" s="77"/>
      <c r="AD1194" s="77"/>
      <c r="AE1194" s="77"/>
      <c r="AF1194" s="77"/>
      <c r="AG1194" s="77"/>
      <c r="AH1194" s="78"/>
      <c r="AI1194" s="78"/>
      <c r="AJ1194" s="78"/>
      <c r="AK1194" s="78"/>
      <c r="AL1194" s="78"/>
      <c r="AM1194" s="78"/>
      <c r="AN1194" s="76"/>
      <c r="AO1194" s="76"/>
      <c r="AP1194" s="76"/>
      <c r="AQ1194" s="76"/>
      <c r="AR1194" s="76"/>
      <c r="AS1194" s="76"/>
      <c r="AT1194" s="76"/>
      <c r="AU1194" s="76"/>
      <c r="AV1194" s="76"/>
      <c r="AW1194" s="79"/>
      <c r="AX1194" s="79"/>
      <c r="AY1194" s="79"/>
      <c r="AZ1194" s="79"/>
      <c r="BA1194" s="79"/>
      <c r="BB1194" s="11"/>
      <c r="BC1194" s="11"/>
      <c r="BD1194" s="11"/>
      <c r="BE1194" s="73"/>
      <c r="BF1194" s="73"/>
      <c r="BG1194" s="73"/>
      <c r="BH1194" s="77"/>
      <c r="BI1194" s="77"/>
      <c r="BJ1194" s="77"/>
      <c r="BK1194" s="77"/>
      <c r="BL1194" s="77"/>
      <c r="BM1194" s="77"/>
      <c r="BN1194" s="158"/>
      <c r="BO1194" s="158"/>
    </row>
    <row r="1195" spans="1:67" ht="15" x14ac:dyDescent="0.25">
      <c r="A1195" s="71"/>
      <c r="B1195" s="11"/>
      <c r="C1195" s="11"/>
      <c r="D1195" s="11"/>
      <c r="E1195" s="11"/>
      <c r="F1195" s="11"/>
      <c r="G1195" s="11"/>
      <c r="H1195" s="11"/>
      <c r="I1195" s="11"/>
      <c r="J1195" s="249"/>
      <c r="K1195" s="73"/>
      <c r="L1195" s="75"/>
      <c r="M1195" s="73"/>
      <c r="N1195" s="74"/>
      <c r="O1195" s="75"/>
      <c r="P1195" s="73"/>
      <c r="Q1195" s="76"/>
      <c r="R1195" s="76"/>
      <c r="S1195" s="76"/>
      <c r="T1195" s="76"/>
      <c r="U1195" s="76"/>
      <c r="V1195" s="76"/>
      <c r="W1195" s="76"/>
      <c r="X1195" s="76"/>
      <c r="Y1195" s="76"/>
      <c r="Z1195" s="77"/>
      <c r="AA1195" s="77"/>
      <c r="AB1195" s="77"/>
      <c r="AC1195" s="77"/>
      <c r="AD1195" s="77"/>
      <c r="AE1195" s="77"/>
      <c r="AF1195" s="77"/>
      <c r="AG1195" s="77"/>
      <c r="AH1195" s="78"/>
      <c r="AI1195" s="78"/>
      <c r="AJ1195" s="78"/>
      <c r="AK1195" s="78"/>
      <c r="AL1195" s="78"/>
      <c r="AM1195" s="78"/>
      <c r="AN1195" s="76"/>
      <c r="AO1195" s="76"/>
      <c r="AP1195" s="76"/>
      <c r="AQ1195" s="76"/>
      <c r="AR1195" s="76"/>
      <c r="AS1195" s="76"/>
      <c r="AT1195" s="76"/>
      <c r="AU1195" s="76"/>
      <c r="AV1195" s="76"/>
      <c r="AW1195" s="79"/>
      <c r="AX1195" s="79"/>
      <c r="AY1195" s="79"/>
      <c r="AZ1195" s="79"/>
      <c r="BA1195" s="79"/>
      <c r="BB1195" s="11"/>
      <c r="BC1195" s="11"/>
      <c r="BD1195" s="11"/>
      <c r="BE1195" s="73"/>
      <c r="BF1195" s="73"/>
      <c r="BG1195" s="73"/>
      <c r="BH1195" s="77"/>
      <c r="BI1195" s="77"/>
      <c r="BJ1195" s="77"/>
      <c r="BK1195" s="77"/>
      <c r="BL1195" s="77"/>
      <c r="BM1195" s="77"/>
      <c r="BN1195" s="158"/>
      <c r="BO1195" s="158"/>
    </row>
    <row r="1196" spans="1:67" ht="15" x14ac:dyDescent="0.25">
      <c r="A1196" s="71"/>
      <c r="B1196" s="11"/>
      <c r="C1196" s="11"/>
      <c r="D1196" s="11"/>
      <c r="E1196" s="11"/>
      <c r="F1196" s="11"/>
      <c r="G1196" s="11"/>
      <c r="H1196" s="11"/>
      <c r="I1196" s="11"/>
      <c r="J1196" s="249"/>
      <c r="K1196" s="73"/>
      <c r="L1196" s="75"/>
      <c r="M1196" s="73"/>
      <c r="N1196" s="74"/>
      <c r="O1196" s="75"/>
      <c r="P1196" s="73"/>
      <c r="Q1196" s="76"/>
      <c r="R1196" s="76"/>
      <c r="S1196" s="76"/>
      <c r="T1196" s="76"/>
      <c r="U1196" s="76"/>
      <c r="V1196" s="76"/>
      <c r="W1196" s="76"/>
      <c r="X1196" s="76"/>
      <c r="Y1196" s="76"/>
      <c r="Z1196" s="77"/>
      <c r="AA1196" s="77"/>
      <c r="AB1196" s="77"/>
      <c r="AC1196" s="77"/>
      <c r="AD1196" s="77"/>
      <c r="AE1196" s="77"/>
      <c r="AF1196" s="77"/>
      <c r="AG1196" s="77"/>
      <c r="AH1196" s="78"/>
      <c r="AI1196" s="78"/>
      <c r="AJ1196" s="78"/>
      <c r="AK1196" s="78"/>
      <c r="AL1196" s="78"/>
      <c r="AM1196" s="78"/>
      <c r="AN1196" s="76"/>
      <c r="AO1196" s="76"/>
      <c r="AP1196" s="76"/>
      <c r="AQ1196" s="76"/>
      <c r="AR1196" s="76"/>
      <c r="AS1196" s="76"/>
      <c r="AT1196" s="76"/>
      <c r="AU1196" s="76"/>
      <c r="AV1196" s="76"/>
      <c r="AW1196" s="79"/>
      <c r="AX1196" s="79"/>
      <c r="AY1196" s="79"/>
      <c r="AZ1196" s="79"/>
      <c r="BA1196" s="79"/>
      <c r="BB1196" s="11"/>
      <c r="BC1196" s="11"/>
      <c r="BD1196" s="11"/>
      <c r="BE1196" s="73"/>
      <c r="BF1196" s="73"/>
      <c r="BG1196" s="73"/>
      <c r="BH1196" s="77"/>
      <c r="BI1196" s="77"/>
      <c r="BJ1196" s="77"/>
      <c r="BK1196" s="77"/>
      <c r="BL1196" s="77"/>
      <c r="BM1196" s="77"/>
      <c r="BN1196" s="158"/>
      <c r="BO1196" s="158"/>
    </row>
    <row r="1197" spans="1:67" ht="15" x14ac:dyDescent="0.25">
      <c r="A1197" s="71"/>
      <c r="B1197" s="11"/>
      <c r="C1197" s="11"/>
      <c r="D1197" s="11"/>
      <c r="E1197" s="11"/>
      <c r="F1197" s="11"/>
      <c r="G1197" s="11"/>
      <c r="H1197" s="11"/>
      <c r="I1197" s="11"/>
      <c r="J1197" s="249"/>
      <c r="K1197" s="73"/>
      <c r="L1197" s="75"/>
      <c r="M1197" s="73"/>
      <c r="N1197" s="74"/>
      <c r="O1197" s="75"/>
      <c r="P1197" s="73"/>
      <c r="Q1197" s="76"/>
      <c r="R1197" s="76"/>
      <c r="S1197" s="76"/>
      <c r="T1197" s="76"/>
      <c r="U1197" s="76"/>
      <c r="V1197" s="76"/>
      <c r="W1197" s="76"/>
      <c r="X1197" s="76"/>
      <c r="Y1197" s="76"/>
      <c r="Z1197" s="77"/>
      <c r="AA1197" s="77"/>
      <c r="AB1197" s="77"/>
      <c r="AC1197" s="77"/>
      <c r="AD1197" s="77"/>
      <c r="AE1197" s="77"/>
      <c r="AF1197" s="77"/>
      <c r="AG1197" s="77"/>
      <c r="AH1197" s="78"/>
      <c r="AI1197" s="78"/>
      <c r="AJ1197" s="78"/>
      <c r="AK1197" s="78"/>
      <c r="AL1197" s="78"/>
      <c r="AM1197" s="78"/>
      <c r="AN1197" s="76"/>
      <c r="AO1197" s="76"/>
      <c r="AP1197" s="76"/>
      <c r="AQ1197" s="76"/>
      <c r="AR1197" s="76"/>
      <c r="AS1197" s="76"/>
      <c r="AT1197" s="76"/>
      <c r="AU1197" s="76"/>
      <c r="AV1197" s="76"/>
      <c r="AW1197" s="79"/>
      <c r="AX1197" s="79"/>
      <c r="AY1197" s="79"/>
      <c r="AZ1197" s="79"/>
      <c r="BA1197" s="79"/>
      <c r="BB1197" s="11"/>
      <c r="BC1197" s="11"/>
      <c r="BD1197" s="11"/>
      <c r="BE1197" s="73"/>
      <c r="BF1197" s="73"/>
      <c r="BG1197" s="73"/>
      <c r="BH1197" s="77"/>
      <c r="BI1197" s="77"/>
      <c r="BJ1197" s="77"/>
      <c r="BK1197" s="77"/>
      <c r="BL1197" s="77"/>
      <c r="BM1197" s="77"/>
      <c r="BN1197" s="158"/>
      <c r="BO1197" s="158"/>
    </row>
    <row r="1198" spans="1:67" ht="15" x14ac:dyDescent="0.25">
      <c r="A1198" s="71"/>
      <c r="B1198" s="11"/>
      <c r="C1198" s="11"/>
      <c r="D1198" s="11"/>
      <c r="E1198" s="11"/>
      <c r="F1198" s="11"/>
      <c r="G1198" s="11"/>
      <c r="H1198" s="11"/>
      <c r="I1198" s="11"/>
      <c r="J1198" s="249"/>
      <c r="K1198" s="73"/>
      <c r="L1198" s="75"/>
      <c r="M1198" s="73"/>
      <c r="N1198" s="74"/>
      <c r="O1198" s="75"/>
      <c r="P1198" s="73"/>
      <c r="Q1198" s="76"/>
      <c r="R1198" s="76"/>
      <c r="S1198" s="76"/>
      <c r="T1198" s="76"/>
      <c r="U1198" s="76"/>
      <c r="V1198" s="76"/>
      <c r="W1198" s="76"/>
      <c r="X1198" s="76"/>
      <c r="Y1198" s="76"/>
      <c r="Z1198" s="77"/>
      <c r="AA1198" s="77"/>
      <c r="AB1198" s="77"/>
      <c r="AC1198" s="77"/>
      <c r="AD1198" s="77"/>
      <c r="AE1198" s="77"/>
      <c r="AF1198" s="77"/>
      <c r="AG1198" s="77"/>
      <c r="AH1198" s="78"/>
      <c r="AI1198" s="78"/>
      <c r="AJ1198" s="78"/>
      <c r="AK1198" s="78"/>
      <c r="AL1198" s="78"/>
      <c r="AM1198" s="78"/>
      <c r="AN1198" s="76"/>
      <c r="AO1198" s="76"/>
      <c r="AP1198" s="76"/>
      <c r="AQ1198" s="76"/>
      <c r="AR1198" s="76"/>
      <c r="AS1198" s="76"/>
      <c r="AT1198" s="76"/>
      <c r="AU1198" s="76"/>
      <c r="AV1198" s="76"/>
      <c r="AW1198" s="79"/>
      <c r="AX1198" s="79"/>
      <c r="AY1198" s="79"/>
      <c r="AZ1198" s="79"/>
      <c r="BA1198" s="79"/>
      <c r="BB1198" s="11"/>
      <c r="BC1198" s="11"/>
      <c r="BD1198" s="11"/>
      <c r="BE1198" s="73"/>
      <c r="BF1198" s="73"/>
      <c r="BG1198" s="73"/>
      <c r="BH1198" s="77"/>
      <c r="BI1198" s="77"/>
      <c r="BJ1198" s="77"/>
      <c r="BK1198" s="77"/>
      <c r="BL1198" s="77"/>
      <c r="BM1198" s="77"/>
      <c r="BN1198" s="158"/>
      <c r="BO1198" s="158"/>
    </row>
    <row r="1199" spans="1:67" ht="15" x14ac:dyDescent="0.25">
      <c r="A1199" s="71"/>
      <c r="B1199" s="11"/>
      <c r="C1199" s="11"/>
      <c r="D1199" s="11"/>
      <c r="E1199" s="11"/>
      <c r="F1199" s="11"/>
      <c r="G1199" s="11"/>
      <c r="H1199" s="11"/>
      <c r="I1199" s="11"/>
      <c r="J1199" s="249"/>
      <c r="K1199" s="73"/>
      <c r="L1199" s="75"/>
      <c r="M1199" s="73"/>
      <c r="N1199" s="74"/>
      <c r="O1199" s="75"/>
      <c r="P1199" s="73"/>
      <c r="Q1199" s="76"/>
      <c r="R1199" s="76"/>
      <c r="S1199" s="76"/>
      <c r="T1199" s="76"/>
      <c r="U1199" s="76"/>
      <c r="V1199" s="76"/>
      <c r="W1199" s="76"/>
      <c r="X1199" s="76"/>
      <c r="Y1199" s="76"/>
      <c r="Z1199" s="77"/>
      <c r="AA1199" s="77"/>
      <c r="AB1199" s="77"/>
      <c r="AC1199" s="77"/>
      <c r="AD1199" s="77"/>
      <c r="AE1199" s="77"/>
      <c r="AF1199" s="77"/>
      <c r="AG1199" s="77"/>
      <c r="AH1199" s="78"/>
      <c r="AI1199" s="78"/>
      <c r="AJ1199" s="78"/>
      <c r="AK1199" s="78"/>
      <c r="AL1199" s="78"/>
      <c r="AM1199" s="78"/>
      <c r="AN1199" s="76"/>
      <c r="AO1199" s="76"/>
      <c r="AP1199" s="76"/>
      <c r="AQ1199" s="76"/>
      <c r="AR1199" s="76"/>
      <c r="AS1199" s="76"/>
      <c r="AT1199" s="76"/>
      <c r="AU1199" s="76"/>
      <c r="AV1199" s="76"/>
      <c r="AW1199" s="79"/>
      <c r="AX1199" s="79"/>
      <c r="AY1199" s="79"/>
      <c r="AZ1199" s="79"/>
      <c r="BA1199" s="79"/>
      <c r="BB1199" s="11"/>
      <c r="BC1199" s="11"/>
      <c r="BD1199" s="11"/>
      <c r="BE1199" s="73"/>
      <c r="BF1199" s="73"/>
      <c r="BG1199" s="73"/>
      <c r="BH1199" s="77"/>
      <c r="BI1199" s="77"/>
      <c r="BJ1199" s="77"/>
      <c r="BK1199" s="77"/>
      <c r="BL1199" s="77"/>
      <c r="BM1199" s="77"/>
      <c r="BN1199" s="158"/>
      <c r="BO1199" s="158"/>
    </row>
    <row r="1200" spans="1:67" ht="15" x14ac:dyDescent="0.25">
      <c r="A1200" s="71"/>
      <c r="B1200" s="11"/>
      <c r="C1200" s="11"/>
      <c r="D1200" s="11"/>
      <c r="E1200" s="11"/>
      <c r="F1200" s="11"/>
      <c r="G1200" s="11"/>
      <c r="H1200" s="11"/>
      <c r="I1200" s="11"/>
      <c r="J1200" s="249"/>
      <c r="K1200" s="73"/>
      <c r="L1200" s="75"/>
      <c r="M1200" s="73"/>
      <c r="N1200" s="74"/>
      <c r="O1200" s="75"/>
      <c r="P1200" s="73"/>
      <c r="Q1200" s="76"/>
      <c r="R1200" s="76"/>
      <c r="S1200" s="76"/>
      <c r="T1200" s="76"/>
      <c r="U1200" s="76"/>
      <c r="V1200" s="76"/>
      <c r="W1200" s="76"/>
      <c r="X1200" s="76"/>
      <c r="Y1200" s="76"/>
      <c r="Z1200" s="77"/>
      <c r="AA1200" s="77"/>
      <c r="AB1200" s="77"/>
      <c r="AC1200" s="77"/>
      <c r="AD1200" s="77"/>
      <c r="AE1200" s="77"/>
      <c r="AF1200" s="77"/>
      <c r="AG1200" s="77"/>
      <c r="AH1200" s="78"/>
      <c r="AI1200" s="78"/>
      <c r="AJ1200" s="78"/>
      <c r="AK1200" s="78"/>
      <c r="AL1200" s="78"/>
      <c r="AM1200" s="78"/>
      <c r="AN1200" s="76"/>
      <c r="AO1200" s="76"/>
      <c r="AP1200" s="76"/>
      <c r="AQ1200" s="76"/>
      <c r="AR1200" s="76"/>
      <c r="AS1200" s="76"/>
      <c r="AT1200" s="76"/>
      <c r="AU1200" s="76"/>
      <c r="AV1200" s="76"/>
      <c r="AW1200" s="79"/>
      <c r="AX1200" s="79"/>
      <c r="AY1200" s="79"/>
      <c r="AZ1200" s="79"/>
      <c r="BA1200" s="79"/>
      <c r="BB1200" s="11"/>
      <c r="BC1200" s="11"/>
      <c r="BD1200" s="11"/>
      <c r="BE1200" s="73"/>
      <c r="BF1200" s="73"/>
      <c r="BG1200" s="73"/>
      <c r="BH1200" s="77"/>
      <c r="BI1200" s="77"/>
      <c r="BJ1200" s="77"/>
      <c r="BK1200" s="77"/>
      <c r="BL1200" s="77"/>
      <c r="BM1200" s="77"/>
      <c r="BN1200" s="158"/>
      <c r="BO1200" s="158"/>
    </row>
  </sheetData>
  <mergeCells count="17">
    <mergeCell ref="BN1:BO1"/>
    <mergeCell ref="BN2:BO2"/>
    <mergeCell ref="BB1:BM1"/>
    <mergeCell ref="AW1:BA2"/>
    <mergeCell ref="BE2:BG2"/>
    <mergeCell ref="BH2:BM2"/>
    <mergeCell ref="BB2:BD2"/>
    <mergeCell ref="J1:P2"/>
    <mergeCell ref="A1:A3"/>
    <mergeCell ref="B1:I2"/>
    <mergeCell ref="AT1:AV1"/>
    <mergeCell ref="Q1:Y2"/>
    <mergeCell ref="AT2:AV2"/>
    <mergeCell ref="AH2:AM2"/>
    <mergeCell ref="Z2:AG2"/>
    <mergeCell ref="Z1:AS1"/>
    <mergeCell ref="AN2:AS2"/>
  </mergeCells>
  <dataValidations count="27">
    <dataValidation type="list" showInputMessage="1" showErrorMessage="1" sqref="E4:E1200">
      <formula1>"Female, Male, Transgender, Other, Unknown"</formula1>
    </dataValidation>
    <dataValidation type="list" allowBlank="1" showInputMessage="1" showErrorMessage="1" sqref="B4:B1190">
      <formula1>State</formula1>
    </dataValidation>
    <dataValidation type="list" allowBlank="1" showInputMessage="1" showErrorMessage="1" sqref="K4:K1200">
      <formula1>"One-on-one session, Group session, Part of Group session listed above"</formula1>
    </dataValidation>
    <dataValidation type="list" allowBlank="1" showInputMessage="1" showErrorMessage="1" sqref="L4:M1200">
      <formula1>"Breast self-awareness, Available breast health services and resources, Clinical trials, Treatment, Survivorship and quality of life, Metastatic breast cancer, Other"</formula1>
    </dataValidation>
    <dataValidation type="list" allowBlank="1" showInputMessage="1" showErrorMessage="1" sqref="AS4:AS1200 Z4:Z1200 BJ4:BM1200 AM4:AM1200 AF4:AF1200">
      <formula1>"Yes, No, Unknown"</formula1>
    </dataValidation>
    <dataValidation type="list" allowBlank="1" showInputMessage="1" showErrorMessage="1" sqref="Q4:Q1200">
      <formula1>"One-on-one training, Group training"</formula1>
    </dataValidation>
    <dataValidation type="list" allowBlank="1" showInputMessage="1" showErrorMessage="1" sqref="AC4:AD1200">
      <formula1>"Clinical breast exam, Mammogram, Genetic testing/counseling"</formula1>
    </dataValidation>
    <dataValidation type="list" allowBlank="1" showInputMessage="1" showErrorMessage="1" sqref="AJ4:AK1200">
      <formula1>"Diagnostic mammogram, Breast ultrasound, Breast MRI, Biopsy, Genomic testing to guide treatment"</formula1>
    </dataValidation>
    <dataValidation type="list" allowBlank="1" showInputMessage="1" showErrorMessage="1" sqref="AP4:AR1200">
      <formula1>"Chemotherapy, Radiation therapy, Surgery, Hormone therapy, Targeted Therapy"</formula1>
    </dataValidation>
    <dataValidation type="list" allowBlank="1" showInputMessage="1" showErrorMessage="1" sqref="AT4:AV1200">
      <formula1>"Symptom management (e.g. anti-nausea meds or lymphedema therapy), Psychosocial support - Group, Psychosocial support - Individual, Complementary &amp; Integrative therapies, Palliative care, Durable medical equipment (e.g. lymphedema sleeves)"</formula1>
    </dataValidation>
    <dataValidation type="list" allowBlank="1" showInputMessage="1" showErrorMessage="1" sqref="AW4:BA1200">
      <formula1>"Transportation, Interpretation/translation services, Co-pay/deductible assistance, Daily living expenses, Childcare"</formula1>
    </dataValidation>
    <dataValidation type="list" showInputMessage="1" showErrorMessage="1" sqref="D4:D1200">
      <formula1>"0-18,19-39,40-49,50-64,65+,Unknown"</formula1>
    </dataValidation>
    <dataValidation type="list" allowBlank="1" showInputMessage="1" showErrorMessage="1" sqref="AA4:AA1200">
      <formula1>"Less than 2 years, 2-5 years, More than 5 years, Never been screened"</formula1>
    </dataValidation>
    <dataValidation type="list" allowBlank="1" showInputMessage="1" showErrorMessage="1" sqref="AE4:AE1200">
      <formula1>"Normal, Abnormal, Unknown"</formula1>
    </dataValidation>
    <dataValidation type="list" allowBlank="1" showInputMessage="1" showErrorMessage="1" sqref="AL4:AL1200 BG4:BG1200 AG4:AG1200 BD4:BD1200">
      <formula1>"No, Yes Stage 0, Yes Stage I, Yes Stage II, Yes Stage III, Yes Stage IV, Yes Stage Unknown, Unknown"</formula1>
    </dataValidation>
    <dataValidation type="list" allowBlank="1" showInputMessage="1" showErrorMessage="1" sqref="BE4:BE1200 AH4:AH1200 AN4:AN1200 BB4:BB1200 BH4:BH1200">
      <formula1>"0-30 days, 31-60 days, 61-90 days, More than 90 days, Unknown"</formula1>
    </dataValidation>
    <dataValidation type="list" showInputMessage="1" showErrorMessage="1" sqref="G4:G1200">
      <formula1>"American Indian or Alaska Native, Asian, Black/African-American, Native Hawaiian or Pacific Islander, Middle Eastern or North African, White, Unknown or Other"</formula1>
    </dataValidation>
    <dataValidation type="list" allowBlank="1" showInputMessage="1" showErrorMessage="1" sqref="P4:P1200">
      <formula1>"Did not take action, Talked to health care provider, Received a breast cancer screening, Shared information with family/friends, Received genetic counseling/testing, Talked to provider about clinical trials, Enrolled in clinical trial, Other, Unknown"</formula1>
    </dataValidation>
    <dataValidation type="list" allowBlank="1" showInputMessage="1" showErrorMessage="1" sqref="AB4:AB1200 BC4:BC1200 BF4:BF1200 AI4:AI1200">
      <formula1>"Facility not accredited, BICOE only, BICOE &amp; NAPBC, NAPBC only"</formula1>
    </dataValidation>
    <dataValidation type="list" allowBlank="1" showInputMessage="1" showErrorMessage="1" sqref="AO4:AO1200 BI4">
      <formula1>"Facility not accredited, CoC only, CoC &amp; NCI, NCI only"</formula1>
    </dataValidation>
    <dataValidation type="list" allowBlank="1" showInputMessage="1" showErrorMessage="1" sqref="BI5:BI1200">
      <formula1>"Facility not accredited, BICOE only, BICOE &amp; CoC, BICOE &amp; NCI, CoC only, CoC &amp; NCI, NCI only"</formula1>
    </dataValidation>
    <dataValidation type="list" showInputMessage="1" showErrorMessage="1" sqref="H4:I1200">
      <formula1>"Amish/Mennonite, Breast cancer survivors, Healthcare providers, Homeless/Residing in temporary housing, Immigrants/Newcomers/Refugees/Migrants, Living w/ metastatic breast cancer, Individuals w/ disabilities, Identifies as LGBTQ, Rural residents"</formula1>
    </dataValidation>
    <dataValidation type="list" allowBlank="1" showInputMessage="1" showErrorMessage="1" sqref="C4:C1190">
      <formula1>INDIRECT(B4)</formula1>
    </dataValidation>
    <dataValidation type="list" allowBlank="1" showInputMessage="1" showErrorMessage="1" sqref="BN4:BO1200">
      <formula1>"Coordination of care to receive diagnostic services, Coordination of care to begin treatment services"</formula1>
    </dataValidation>
    <dataValidation type="list" allowBlank="1" showInputMessage="1" showErrorMessage="1" sqref="F4:F1200">
      <formula1>"Colombian, Cuban, Dominican, Mexican/Mexican-American/Chicano, Puerto Rican, Salvadoran, Other Hispanic/Latino/Spanish origin, Not of Hispanic/Latino/Spanish origin, Unknown or Other"</formula1>
    </dataValidation>
    <dataValidation type="list" allowBlank="1" showInputMessage="1" showErrorMessage="1" sqref="O4:O1200">
      <formula1>"Yes, No"</formula1>
    </dataValidation>
    <dataValidation type="date" allowBlank="1" showInputMessage="1" showErrorMessage="1" sqref="J4:J1200">
      <formula1>43191</formula1>
      <formula2>43555</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K53"/>
  <sheetViews>
    <sheetView zoomScale="70" zoomScaleNormal="70" workbookViewId="0">
      <selection activeCell="AV12" sqref="AV12"/>
    </sheetView>
  </sheetViews>
  <sheetFormatPr defaultRowHeight="15" x14ac:dyDescent="0.25"/>
  <cols>
    <col min="1" max="1" width="33" style="16" customWidth="1"/>
    <col min="2" max="2" width="33" style="31" customWidth="1"/>
    <col min="3" max="3" width="29" style="15" customWidth="1"/>
    <col min="4" max="4" width="29" style="31" customWidth="1"/>
    <col min="5" max="5" width="24.85546875" style="15" bestFit="1" customWidth="1"/>
    <col min="6" max="6" width="24.85546875" style="31" customWidth="1"/>
    <col min="7" max="7" width="24.85546875" style="15" customWidth="1"/>
    <col min="8" max="8" width="24.85546875" style="31" customWidth="1"/>
    <col min="9" max="9" width="43" style="17" customWidth="1"/>
    <col min="10" max="10" width="39.28515625" style="34" customWidth="1"/>
    <col min="11" max="12" width="29" style="15" customWidth="1"/>
    <col min="13" max="14" width="26.7109375" style="16" customWidth="1"/>
    <col min="15" max="18" width="23.28515625" style="18" customWidth="1"/>
    <col min="19" max="22" width="23.28515625" style="16" customWidth="1"/>
    <col min="23" max="27" width="34.85546875" style="16" customWidth="1"/>
    <col min="28" max="29" width="32.28515625" style="15" customWidth="1"/>
    <col min="30" max="39" width="26.7109375" style="15" customWidth="1"/>
    <col min="40" max="41" width="25.28515625" style="15" customWidth="1"/>
    <col min="42" max="43" width="25.140625" style="15" customWidth="1"/>
    <col min="44" max="44" width="24.5703125" style="17" customWidth="1"/>
    <col min="45" max="46" width="24.5703125" style="16" customWidth="1"/>
    <col min="47" max="49" width="26.85546875" style="16" customWidth="1"/>
    <col min="50" max="50" width="27.42578125" style="15" customWidth="1"/>
    <col min="51" max="51" width="27.85546875" style="15" customWidth="1"/>
    <col min="52" max="53" width="20.85546875" style="15" customWidth="1"/>
    <col min="54" max="54" width="30.7109375" style="17" customWidth="1"/>
    <col min="55" max="59" width="33" style="16" customWidth="1"/>
    <col min="60" max="61" width="21.42578125" style="15" customWidth="1"/>
    <col min="62" max="62" width="40" style="15" customWidth="1"/>
    <col min="63" max="63" width="29.5703125" style="15" customWidth="1"/>
    <col min="64" max="64" width="26.140625" style="15" customWidth="1"/>
    <col min="65" max="65" width="26.7109375" style="15" customWidth="1"/>
    <col min="66" max="69" width="36.5703125" style="15" customWidth="1"/>
    <col min="70" max="71" width="28.28515625" style="15" customWidth="1"/>
    <col min="72" max="72" width="34.28515625" style="15" customWidth="1"/>
    <col min="73" max="75" width="41.7109375" style="15" customWidth="1"/>
    <col min="76" max="77" width="29.42578125" style="15" customWidth="1"/>
    <col min="78" max="78" width="37.7109375" style="15" customWidth="1"/>
    <col min="79" max="81" width="42.5703125" style="15" customWidth="1"/>
    <col min="82" max="83" width="43.42578125" style="15" customWidth="1"/>
    <col min="84" max="85" width="26" style="15" customWidth="1"/>
    <col min="86" max="89" width="40.140625" style="15" customWidth="1"/>
    <col min="90" max="16384" width="9.140625" style="3"/>
  </cols>
  <sheetData>
    <row r="1" spans="1:89" ht="29.25" customHeight="1" x14ac:dyDescent="0.2">
      <c r="A1" s="315" t="s">
        <v>1</v>
      </c>
      <c r="B1" s="316"/>
      <c r="C1" s="316"/>
      <c r="D1" s="316"/>
      <c r="E1" s="316"/>
      <c r="F1" s="316"/>
      <c r="G1" s="316"/>
      <c r="H1" s="316"/>
      <c r="I1" s="316"/>
      <c r="J1" s="317"/>
      <c r="K1" s="321" t="s">
        <v>53</v>
      </c>
      <c r="L1" s="322"/>
      <c r="M1" s="322"/>
      <c r="N1" s="322"/>
      <c r="O1" s="322"/>
      <c r="P1" s="322"/>
      <c r="Q1" s="322"/>
      <c r="R1" s="322"/>
      <c r="S1" s="322"/>
      <c r="T1" s="322"/>
      <c r="U1" s="322"/>
      <c r="V1" s="322"/>
      <c r="W1" s="322"/>
      <c r="X1" s="323"/>
      <c r="Y1" s="293" t="s">
        <v>97</v>
      </c>
      <c r="Z1" s="294"/>
      <c r="AA1" s="295"/>
      <c r="AB1" s="308" t="s">
        <v>75</v>
      </c>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293" t="s">
        <v>190</v>
      </c>
      <c r="BK1" s="294"/>
      <c r="BL1" s="331" t="s">
        <v>85</v>
      </c>
      <c r="BM1" s="332"/>
      <c r="BN1" s="290" t="s">
        <v>55</v>
      </c>
      <c r="BO1" s="291"/>
      <c r="BP1" s="291"/>
      <c r="BQ1" s="291"/>
      <c r="BR1" s="291"/>
      <c r="BS1" s="291"/>
      <c r="BT1" s="291"/>
      <c r="BU1" s="291"/>
      <c r="BV1" s="291"/>
      <c r="BW1" s="291"/>
      <c r="BX1" s="291"/>
      <c r="BY1" s="291"/>
      <c r="BZ1" s="291"/>
      <c r="CA1" s="291"/>
      <c r="CB1" s="291"/>
      <c r="CC1" s="291"/>
      <c r="CD1" s="291"/>
      <c r="CE1" s="291"/>
      <c r="CF1" s="291"/>
      <c r="CG1" s="291"/>
      <c r="CH1" s="291"/>
      <c r="CI1" s="292"/>
      <c r="CJ1" s="308" t="s">
        <v>94</v>
      </c>
      <c r="CK1" s="308"/>
    </row>
    <row r="2" spans="1:89" ht="37.5" customHeight="1" x14ac:dyDescent="0.25">
      <c r="A2" s="318"/>
      <c r="B2" s="319"/>
      <c r="C2" s="319"/>
      <c r="D2" s="319"/>
      <c r="E2" s="319"/>
      <c r="F2" s="319"/>
      <c r="G2" s="319"/>
      <c r="H2" s="319"/>
      <c r="I2" s="319"/>
      <c r="J2" s="320"/>
      <c r="K2" s="324"/>
      <c r="L2" s="325"/>
      <c r="M2" s="325"/>
      <c r="N2" s="325"/>
      <c r="O2" s="325"/>
      <c r="P2" s="325"/>
      <c r="Q2" s="325"/>
      <c r="R2" s="325"/>
      <c r="S2" s="325"/>
      <c r="T2" s="325"/>
      <c r="U2" s="325"/>
      <c r="V2" s="325"/>
      <c r="W2" s="325"/>
      <c r="X2" s="326"/>
      <c r="Y2" s="296"/>
      <c r="Z2" s="297"/>
      <c r="AA2" s="298"/>
      <c r="AB2" s="311" t="s">
        <v>56</v>
      </c>
      <c r="AC2" s="311"/>
      <c r="AD2" s="311"/>
      <c r="AE2" s="311"/>
      <c r="AF2" s="311"/>
      <c r="AG2" s="311"/>
      <c r="AH2" s="311"/>
      <c r="AI2" s="311"/>
      <c r="AJ2" s="311"/>
      <c r="AK2" s="311"/>
      <c r="AL2" s="311"/>
      <c r="AM2" s="311"/>
      <c r="AN2" s="311"/>
      <c r="AO2" s="311"/>
      <c r="AP2" s="311"/>
      <c r="AQ2" s="311"/>
      <c r="AR2" s="311"/>
      <c r="AS2" s="13"/>
      <c r="AT2" s="327" t="s">
        <v>57</v>
      </c>
      <c r="AU2" s="328"/>
      <c r="AV2" s="328"/>
      <c r="AW2" s="328"/>
      <c r="AX2" s="328"/>
      <c r="AY2" s="328"/>
      <c r="AZ2" s="328"/>
      <c r="BA2" s="328"/>
      <c r="BB2" s="328"/>
      <c r="BC2" s="329"/>
      <c r="BD2" s="341" t="s">
        <v>58</v>
      </c>
      <c r="BE2" s="341"/>
      <c r="BF2" s="341"/>
      <c r="BG2" s="341"/>
      <c r="BH2" s="341"/>
      <c r="BI2" s="341"/>
      <c r="BJ2" s="296"/>
      <c r="BK2" s="297"/>
      <c r="BL2" s="333"/>
      <c r="BM2" s="334"/>
      <c r="BN2" s="312" t="s">
        <v>76</v>
      </c>
      <c r="BO2" s="313"/>
      <c r="BP2" s="313"/>
      <c r="BQ2" s="313"/>
      <c r="BR2" s="313"/>
      <c r="BS2" s="314"/>
      <c r="BT2" s="338" t="s">
        <v>79</v>
      </c>
      <c r="BU2" s="339"/>
      <c r="BV2" s="339"/>
      <c r="BW2" s="339"/>
      <c r="BX2" s="339"/>
      <c r="BY2" s="340"/>
      <c r="BZ2" s="342" t="s">
        <v>80</v>
      </c>
      <c r="CA2" s="343"/>
      <c r="CB2" s="343"/>
      <c r="CC2" s="343"/>
      <c r="CD2" s="343"/>
      <c r="CE2" s="343"/>
      <c r="CF2" s="343"/>
      <c r="CG2" s="343"/>
      <c r="CH2" s="343"/>
      <c r="CI2" s="344"/>
      <c r="CJ2" s="330" t="s">
        <v>96</v>
      </c>
      <c r="CK2" s="330"/>
    </row>
    <row r="3" spans="1:89" ht="75.75" customHeight="1" x14ac:dyDescent="0.2">
      <c r="A3" s="7" t="s">
        <v>91</v>
      </c>
      <c r="B3" s="20" t="s">
        <v>227</v>
      </c>
      <c r="C3" s="19" t="s">
        <v>89</v>
      </c>
      <c r="D3" s="19" t="s">
        <v>160</v>
      </c>
      <c r="E3" s="19" t="s">
        <v>90</v>
      </c>
      <c r="F3" s="19" t="s">
        <v>159</v>
      </c>
      <c r="G3" s="19" t="s">
        <v>228</v>
      </c>
      <c r="H3" s="19" t="s">
        <v>229</v>
      </c>
      <c r="I3" s="19" t="s">
        <v>200</v>
      </c>
      <c r="J3" s="20" t="s">
        <v>158</v>
      </c>
      <c r="K3" s="22" t="s">
        <v>234</v>
      </c>
      <c r="L3" s="22" t="s">
        <v>235</v>
      </c>
      <c r="M3" s="23" t="s">
        <v>54</v>
      </c>
      <c r="N3" s="21" t="s">
        <v>157</v>
      </c>
      <c r="O3" s="335" t="s">
        <v>161</v>
      </c>
      <c r="P3" s="336"/>
      <c r="Q3" s="336"/>
      <c r="R3" s="337"/>
      <c r="S3" s="21" t="s">
        <v>87</v>
      </c>
      <c r="T3" s="21" t="s">
        <v>156</v>
      </c>
      <c r="U3" s="23" t="s">
        <v>92</v>
      </c>
      <c r="V3" s="23" t="s">
        <v>155</v>
      </c>
      <c r="W3" s="23" t="s">
        <v>88</v>
      </c>
      <c r="X3" s="23" t="s">
        <v>197</v>
      </c>
      <c r="Y3" s="24" t="s">
        <v>106</v>
      </c>
      <c r="Z3" s="24" t="s">
        <v>162</v>
      </c>
      <c r="AA3" s="24" t="s">
        <v>163</v>
      </c>
      <c r="AB3" s="25" t="s">
        <v>61</v>
      </c>
      <c r="AC3" s="25" t="s">
        <v>164</v>
      </c>
      <c r="AD3" s="25" t="s">
        <v>60</v>
      </c>
      <c r="AE3" s="25" t="s">
        <v>165</v>
      </c>
      <c r="AF3" s="25" t="s">
        <v>222</v>
      </c>
      <c r="AG3" s="25" t="s">
        <v>238</v>
      </c>
      <c r="AH3" s="25" t="s">
        <v>239</v>
      </c>
      <c r="AI3" s="25" t="s">
        <v>240</v>
      </c>
      <c r="AJ3" s="25" t="s">
        <v>241</v>
      </c>
      <c r="AK3" s="25" t="s">
        <v>242</v>
      </c>
      <c r="AL3" s="25" t="s">
        <v>243</v>
      </c>
      <c r="AM3" s="25" t="s">
        <v>244</v>
      </c>
      <c r="AN3" s="25" t="s">
        <v>137</v>
      </c>
      <c r="AO3" s="25" t="s">
        <v>166</v>
      </c>
      <c r="AP3" s="25" t="s">
        <v>167</v>
      </c>
      <c r="AQ3" s="25" t="s">
        <v>168</v>
      </c>
      <c r="AR3" s="25" t="s">
        <v>65</v>
      </c>
      <c r="AS3" s="25" t="s">
        <v>169</v>
      </c>
      <c r="AT3" s="26" t="s">
        <v>69</v>
      </c>
      <c r="AU3" s="26" t="s">
        <v>170</v>
      </c>
      <c r="AV3" s="26" t="s">
        <v>223</v>
      </c>
      <c r="AW3" s="26" t="s">
        <v>226</v>
      </c>
      <c r="AX3" s="26" t="s">
        <v>171</v>
      </c>
      <c r="AY3" s="26" t="s">
        <v>172</v>
      </c>
      <c r="AZ3" s="26" t="s">
        <v>66</v>
      </c>
      <c r="BA3" s="26" t="s">
        <v>177</v>
      </c>
      <c r="BB3" s="26" t="s">
        <v>68</v>
      </c>
      <c r="BC3" s="26" t="s">
        <v>178</v>
      </c>
      <c r="BD3" s="24" t="s">
        <v>71</v>
      </c>
      <c r="BE3" s="24" t="s">
        <v>179</v>
      </c>
      <c r="BF3" s="24" t="s">
        <v>224</v>
      </c>
      <c r="BG3" s="24" t="s">
        <v>225</v>
      </c>
      <c r="BH3" s="24" t="s">
        <v>144</v>
      </c>
      <c r="BI3" s="24" t="s">
        <v>180</v>
      </c>
      <c r="BJ3" s="24" t="s">
        <v>181</v>
      </c>
      <c r="BK3" s="24" t="s">
        <v>182</v>
      </c>
      <c r="BL3" s="27" t="s">
        <v>150</v>
      </c>
      <c r="BM3" s="27" t="s">
        <v>149</v>
      </c>
      <c r="BN3" s="19" t="s">
        <v>77</v>
      </c>
      <c r="BO3" s="19" t="s">
        <v>183</v>
      </c>
      <c r="BP3" s="19" t="s">
        <v>217</v>
      </c>
      <c r="BQ3" s="19" t="s">
        <v>218</v>
      </c>
      <c r="BR3" s="19" t="s">
        <v>59</v>
      </c>
      <c r="BS3" s="19" t="s">
        <v>184</v>
      </c>
      <c r="BT3" s="23" t="s">
        <v>214</v>
      </c>
      <c r="BU3" s="23" t="s">
        <v>215</v>
      </c>
      <c r="BV3" s="23" t="s">
        <v>216</v>
      </c>
      <c r="BW3" s="23" t="s">
        <v>219</v>
      </c>
      <c r="BX3" s="23" t="s">
        <v>66</v>
      </c>
      <c r="BY3" s="23" t="s">
        <v>185</v>
      </c>
      <c r="BZ3" s="25" t="s">
        <v>81</v>
      </c>
      <c r="CA3" s="25" t="s">
        <v>201</v>
      </c>
      <c r="CB3" s="25" t="s">
        <v>220</v>
      </c>
      <c r="CC3" s="25" t="s">
        <v>221</v>
      </c>
      <c r="CD3" s="25" t="s">
        <v>95</v>
      </c>
      <c r="CE3" s="25" t="s">
        <v>186</v>
      </c>
      <c r="CF3" s="25" t="s">
        <v>82</v>
      </c>
      <c r="CG3" s="25" t="s">
        <v>187</v>
      </c>
      <c r="CH3" s="25" t="s">
        <v>84</v>
      </c>
      <c r="CI3" s="25" t="s">
        <v>188</v>
      </c>
      <c r="CJ3" s="24" t="s">
        <v>154</v>
      </c>
      <c r="CK3" s="24" t="s">
        <v>189</v>
      </c>
    </row>
    <row r="4" spans="1:89" s="30" customFormat="1" ht="47.25" customHeight="1" x14ac:dyDescent="0.25">
      <c r="A4" s="47" t="s">
        <v>3</v>
      </c>
      <c r="B4" s="35">
        <f>COUNTIF('SERVICE ENTRY'!$B$4:$B$1190, A4)</f>
        <v>0</v>
      </c>
      <c r="C4" s="46" t="s">
        <v>109</v>
      </c>
      <c r="D4" s="36">
        <f>COUNTIF('SERVICE ENTRY'!$D$4:$D$1200, C4)</f>
        <v>0</v>
      </c>
      <c r="E4" s="46" t="s">
        <v>0</v>
      </c>
      <c r="F4" s="36">
        <f>COUNTIF('SERVICE ENTRY'!$E$4:$E$1200, E4)</f>
        <v>0</v>
      </c>
      <c r="G4" s="49" t="s">
        <v>126</v>
      </c>
      <c r="H4" s="36">
        <f>COUNTIF('SERVICE ENTRY'!$G$4:$G$1200,G4)</f>
        <v>0</v>
      </c>
      <c r="I4" s="42" t="s">
        <v>230</v>
      </c>
      <c r="J4" s="36">
        <f>COUNTIF('SERVICE ENTRY'!$H$4:$I$1200, I4)</f>
        <v>0</v>
      </c>
      <c r="K4" s="46" t="s">
        <v>113</v>
      </c>
      <c r="L4" s="38">
        <f>COUNTIF('SERVICE ENTRY'!$K$4:$N$8, K4)</f>
        <v>0</v>
      </c>
      <c r="M4" s="48" t="s">
        <v>115</v>
      </c>
      <c r="N4" s="38">
        <f>COUNTIF('SERVICE ENTRY'!$K$4:$N$8, M4)</f>
        <v>0</v>
      </c>
      <c r="O4" s="46" t="s">
        <v>113</v>
      </c>
      <c r="P4" s="39">
        <f>SUMIF('SERVICE ENTRY'!$K$4:$K$8,O4,'SERVICE ENTRY'!$N$4:$N$8)</f>
        <v>0</v>
      </c>
      <c r="Q4" s="48" t="s">
        <v>115</v>
      </c>
      <c r="R4" s="39">
        <f>SUMIF('SERVICE ENTRY'!$L$4:$L$8,Q4, 'SERVICE ENTRY'!$N$4:$N$8)</f>
        <v>0</v>
      </c>
      <c r="S4" s="46" t="s">
        <v>62</v>
      </c>
      <c r="T4" s="38"/>
      <c r="U4" s="46" t="s">
        <v>62</v>
      </c>
      <c r="V4" s="38"/>
      <c r="W4" s="48" t="s">
        <v>202</v>
      </c>
      <c r="X4" s="38"/>
      <c r="Y4" s="46" t="s">
        <v>133</v>
      </c>
      <c r="Z4" s="37"/>
      <c r="AA4" s="40"/>
      <c r="AB4" s="46" t="s">
        <v>62</v>
      </c>
      <c r="AC4" s="41"/>
      <c r="AD4" s="48" t="s">
        <v>195</v>
      </c>
      <c r="AE4" s="41"/>
      <c r="AF4" s="50" t="s">
        <v>204</v>
      </c>
      <c r="AG4" s="41">
        <f>COUNTIF('SERVICE ENTRY'!$AB$4:$AB$1200,'Aggregated Report'!AF4)</f>
        <v>0</v>
      </c>
      <c r="AH4" s="41">
        <f>COUNTIFS('SERVICE ENTRY'!$AB$4:$AB$1200,AF4,'SERVICE ENTRY'!$G$4:$G$1200,"Black/African-American")</f>
        <v>0</v>
      </c>
      <c r="AI4" s="41">
        <f>COUNTIFS('SERVICE ENTRY'!$AB$4:$AB$1200,$AF4,'SERVICE ENTRY'!$G$4:$G$1200,"Hispanic/Latino")</f>
        <v>0</v>
      </c>
      <c r="AJ4" s="41">
        <f>COUNTIFS('SERVICE ENTRY'!$AB$4:$AB$1200,$AF4,'SERVICE ENTRY'!$G$4:$G$1200,"White")</f>
        <v>0</v>
      </c>
      <c r="AK4" s="41">
        <f>COUNTIFS('SERVICE ENTRY'!$AB$4:$AB$1200,$AF4,'SERVICE ENTRY'!$G$4:$G$1200,"American Indian or Alaska Native")</f>
        <v>0</v>
      </c>
      <c r="AL4" s="41">
        <f>COUNTIFS('SERVICE ENTRY'!$AB$4:$AB$1200,$AF4,'SERVICE ENTRY'!$G$4:$G$1200,"Asian")</f>
        <v>0</v>
      </c>
      <c r="AM4" s="41">
        <f>COUNTIFS('SERVICE ENTRY'!$AB$4:$AB$1200,$AF4,'SERVICE ENTRY'!$G$4:$G$1200,"Native Hawaiian or Pacific Islander")</f>
        <v>0</v>
      </c>
      <c r="AN4" s="48" t="s">
        <v>118</v>
      </c>
      <c r="AO4" s="41"/>
      <c r="AP4" s="46" t="s">
        <v>121</v>
      </c>
      <c r="AQ4" s="41"/>
      <c r="AR4" s="46" t="s">
        <v>62</v>
      </c>
      <c r="AS4" s="41"/>
      <c r="AT4" s="48" t="s">
        <v>98</v>
      </c>
      <c r="AU4" s="43"/>
      <c r="AV4" s="50" t="s">
        <v>204</v>
      </c>
      <c r="AW4" s="43"/>
      <c r="AX4" s="48" t="s">
        <v>119</v>
      </c>
      <c r="AY4" s="43"/>
      <c r="AZ4" s="48" t="s">
        <v>83</v>
      </c>
      <c r="BA4" s="43"/>
      <c r="BB4" s="46" t="s">
        <v>62</v>
      </c>
      <c r="BC4" s="43"/>
      <c r="BD4" s="48" t="s">
        <v>98</v>
      </c>
      <c r="BE4" s="40"/>
      <c r="BF4" s="48" t="s">
        <v>204</v>
      </c>
      <c r="BG4" s="40"/>
      <c r="BH4" s="48" t="s">
        <v>74</v>
      </c>
      <c r="BI4" s="40"/>
      <c r="BJ4" s="48" t="s">
        <v>101</v>
      </c>
      <c r="BK4" s="44"/>
      <c r="BL4" s="48" t="s">
        <v>120</v>
      </c>
      <c r="BM4" s="45"/>
      <c r="BN4" s="48" t="s">
        <v>98</v>
      </c>
      <c r="BO4" s="36"/>
      <c r="BP4" s="50" t="s">
        <v>204</v>
      </c>
      <c r="BQ4" s="36"/>
      <c r="BR4" s="46" t="s">
        <v>121</v>
      </c>
      <c r="BS4" s="36"/>
      <c r="BT4" s="48" t="s">
        <v>98</v>
      </c>
      <c r="BU4" s="38"/>
      <c r="BV4" s="50" t="s">
        <v>204</v>
      </c>
      <c r="BW4" s="38"/>
      <c r="BX4" s="48" t="s">
        <v>83</v>
      </c>
      <c r="BY4" s="38"/>
      <c r="BZ4" s="48" t="s">
        <v>98</v>
      </c>
      <c r="CA4" s="41"/>
      <c r="CB4" s="48" t="s">
        <v>204</v>
      </c>
      <c r="CC4" s="41"/>
      <c r="CD4" s="46" t="s">
        <v>62</v>
      </c>
      <c r="CE4" s="41"/>
      <c r="CF4" s="46" t="s">
        <v>62</v>
      </c>
      <c r="CG4" s="41"/>
      <c r="CH4" s="46" t="s">
        <v>62</v>
      </c>
      <c r="CI4" s="41"/>
      <c r="CJ4" s="46" t="s">
        <v>152</v>
      </c>
      <c r="CK4" s="40"/>
    </row>
    <row r="5" spans="1:89" s="30" customFormat="1" ht="45" x14ac:dyDescent="0.25">
      <c r="A5" s="47" t="s">
        <v>4</v>
      </c>
      <c r="B5" s="35">
        <f>COUNTIF('SERVICE ENTRY'!$B$4:$B$1190, A5)</f>
        <v>0</v>
      </c>
      <c r="C5" s="46" t="s">
        <v>123</v>
      </c>
      <c r="D5" s="36">
        <f>COUNTIF('SERVICE ENTRY'!$D$4:$D$1200, C5)</f>
        <v>0</v>
      </c>
      <c r="E5" s="46" t="s">
        <v>108</v>
      </c>
      <c r="F5" s="36">
        <f>COUNTIF('SERVICE ENTRY'!$E$4:$E$1200, E5)</f>
        <v>0</v>
      </c>
      <c r="G5" s="49" t="s">
        <v>112</v>
      </c>
      <c r="H5" s="36">
        <f>COUNTIF('SERVICE ENTRY'!$G$4:$G$1200,G5)</f>
        <v>0</v>
      </c>
      <c r="I5" s="42" t="s">
        <v>231</v>
      </c>
      <c r="J5" s="36">
        <f>COUNTIF('SERVICE ENTRY'!$H$4:$I$1200, I5)</f>
        <v>0</v>
      </c>
      <c r="K5" s="46" t="s">
        <v>114</v>
      </c>
      <c r="L5" s="38">
        <f>COUNTIF('SERVICE ENTRY'!$K$4:$N$8, K5)</f>
        <v>0</v>
      </c>
      <c r="M5" s="48" t="s">
        <v>116</v>
      </c>
      <c r="N5" s="38">
        <f>COUNTIF('SERVICE ENTRY'!$K$4:$N$8, M5)</f>
        <v>0</v>
      </c>
      <c r="O5" s="46" t="s">
        <v>114</v>
      </c>
      <c r="P5" s="39">
        <f>SUMIF('SERVICE ENTRY'!$K$4:$K$8,O5,'SERVICE ENTRY'!$N$4:$N$8)</f>
        <v>0</v>
      </c>
      <c r="Q5" s="48" t="s">
        <v>116</v>
      </c>
      <c r="R5" s="39">
        <f>SUMIF('SERVICE ENTRY'!$L$4:$L$8,Q5, 'SERVICE ENTRY'!$N$4:$N$8)</f>
        <v>0</v>
      </c>
      <c r="S5" s="46" t="s">
        <v>83</v>
      </c>
      <c r="T5" s="38"/>
      <c r="U5" s="46" t="s">
        <v>83</v>
      </c>
      <c r="V5" s="38"/>
      <c r="W5" s="48" t="s">
        <v>193</v>
      </c>
      <c r="X5" s="38"/>
      <c r="Y5" s="46" t="s">
        <v>134</v>
      </c>
      <c r="Z5" s="37"/>
      <c r="AA5" s="40"/>
      <c r="AB5" s="46" t="s">
        <v>83</v>
      </c>
      <c r="AC5" s="41"/>
      <c r="AD5" s="48" t="s">
        <v>196</v>
      </c>
      <c r="AE5" s="41"/>
      <c r="AF5" s="50" t="s">
        <v>205</v>
      </c>
      <c r="AG5" s="41">
        <f>COUNTIF('SERVICE ENTRY'!$AB$4:$AB$1200,'Aggregated Report'!AF5)</f>
        <v>0</v>
      </c>
      <c r="AH5" s="41">
        <f>COUNTIFS('SERVICE ENTRY'!$AB$4:$AB$1200,AF5,'SERVICE ENTRY'!$G$4:$G$1200,"Black/African-American")</f>
        <v>0</v>
      </c>
      <c r="AI5" s="41">
        <f>COUNTIFS('SERVICE ENTRY'!$AB$4:$AB$1200,AF5,'SERVICE ENTRY'!$G$4:$G$1200,"Hispanic/Latino")</f>
        <v>0</v>
      </c>
      <c r="AJ5" s="41">
        <f>COUNTIFS('SERVICE ENTRY'!$AB$4:$AB$1200,$AF5,'SERVICE ENTRY'!$G$4:$G$1200,"White")</f>
        <v>0</v>
      </c>
      <c r="AK5" s="41">
        <f>COUNTIFS('SERVICE ENTRY'!$AB$4:$AB$1200,$AF5,'SERVICE ENTRY'!$G$4:$G$1200,"American Indian or Alaska Native")</f>
        <v>0</v>
      </c>
      <c r="AL5" s="41">
        <f>COUNTIFS('SERVICE ENTRY'!$AB$4:$AB$1200,$AF5,'SERVICE ENTRY'!$G$4:$G$1200,"Asian")</f>
        <v>0</v>
      </c>
      <c r="AM5" s="41">
        <f>COUNTIFS('SERVICE ENTRY'!$AB$4:$AB$1200,$AF5,'SERVICE ENTRY'!$G$4:$G$1200,"Native Hawaiian or Pacific Islander")</f>
        <v>0</v>
      </c>
      <c r="AN5" s="48" t="s">
        <v>67</v>
      </c>
      <c r="AO5" s="41"/>
      <c r="AP5" s="46" t="s">
        <v>64</v>
      </c>
      <c r="AQ5" s="41"/>
      <c r="AR5" s="46" t="s">
        <v>83</v>
      </c>
      <c r="AS5" s="41"/>
      <c r="AT5" s="48" t="s">
        <v>70</v>
      </c>
      <c r="AU5" s="43"/>
      <c r="AV5" s="50" t="s">
        <v>205</v>
      </c>
      <c r="AW5" s="43"/>
      <c r="AX5" s="48" t="s">
        <v>140</v>
      </c>
      <c r="AY5" s="43"/>
      <c r="AZ5" s="48" t="s">
        <v>173</v>
      </c>
      <c r="BA5" s="43"/>
      <c r="BB5" s="46" t="s">
        <v>83</v>
      </c>
      <c r="BC5" s="43"/>
      <c r="BD5" s="48" t="s">
        <v>70</v>
      </c>
      <c r="BE5" s="40"/>
      <c r="BF5" s="48" t="s">
        <v>205</v>
      </c>
      <c r="BG5" s="40"/>
      <c r="BH5" s="48" t="s">
        <v>100</v>
      </c>
      <c r="BI5" s="40"/>
      <c r="BJ5" s="48" t="s">
        <v>102</v>
      </c>
      <c r="BK5" s="44"/>
      <c r="BL5" s="48" t="s">
        <v>86</v>
      </c>
      <c r="BM5" s="45"/>
      <c r="BN5" s="48" t="s">
        <v>70</v>
      </c>
      <c r="BO5" s="36"/>
      <c r="BP5" s="50" t="s">
        <v>205</v>
      </c>
      <c r="BQ5" s="36"/>
      <c r="BR5" s="46" t="s">
        <v>64</v>
      </c>
      <c r="BS5" s="36"/>
      <c r="BT5" s="48" t="s">
        <v>70</v>
      </c>
      <c r="BU5" s="38"/>
      <c r="BV5" s="50" t="s">
        <v>205</v>
      </c>
      <c r="BW5" s="38"/>
      <c r="BX5" s="48" t="s">
        <v>173</v>
      </c>
      <c r="BY5" s="38"/>
      <c r="BZ5" s="48" t="s">
        <v>70</v>
      </c>
      <c r="CA5" s="41"/>
      <c r="CB5" s="48" t="s">
        <v>205</v>
      </c>
      <c r="CC5" s="41"/>
      <c r="CD5" s="46" t="s">
        <v>83</v>
      </c>
      <c r="CE5" s="41"/>
      <c r="CF5" s="46" t="s">
        <v>83</v>
      </c>
      <c r="CG5" s="41"/>
      <c r="CH5" s="46" t="s">
        <v>83</v>
      </c>
      <c r="CI5" s="41"/>
      <c r="CJ5" s="46" t="s">
        <v>153</v>
      </c>
      <c r="CK5" s="40"/>
    </row>
    <row r="6" spans="1:89" s="30" customFormat="1" ht="30" x14ac:dyDescent="0.25">
      <c r="A6" s="47" t="s">
        <v>5</v>
      </c>
      <c r="B6" s="35">
        <f>COUNTIF('SERVICE ENTRY'!$B$4:$B$1190, A6)</f>
        <v>0</v>
      </c>
      <c r="C6" s="46" t="s">
        <v>110</v>
      </c>
      <c r="D6" s="36">
        <f>COUNTIF('SERVICE ENTRY'!$D$4:$D$1200, C6)</f>
        <v>0</v>
      </c>
      <c r="E6" s="46" t="s">
        <v>111</v>
      </c>
      <c r="F6" s="36">
        <f>COUNTIF('SERVICE ENTRY'!$E$4:$E$1200, E6)</f>
        <v>0</v>
      </c>
      <c r="G6" s="49" t="s">
        <v>63</v>
      </c>
      <c r="H6" s="36">
        <f>COUNTIF('SERVICE ENTRY'!$G$4:$G$1200,G6)</f>
        <v>0</v>
      </c>
      <c r="I6" s="42" t="s">
        <v>232</v>
      </c>
      <c r="J6" s="36">
        <f>COUNTIF('SERVICE ENTRY'!$H$4:$I$1200, I6)</f>
        <v>0</v>
      </c>
      <c r="K6" s="29"/>
      <c r="L6" s="33"/>
      <c r="M6" s="48" t="s">
        <v>130</v>
      </c>
      <c r="N6" s="38">
        <f>COUNTIF('SERVICE ENTRY'!$K$4:$N$8, M6)</f>
        <v>0</v>
      </c>
      <c r="O6" s="28"/>
      <c r="P6" s="28"/>
      <c r="Q6" s="48" t="s">
        <v>130</v>
      </c>
      <c r="R6" s="39">
        <f>SUMIF('SERVICE ENTRY'!$L$4:$L$8,Q6, 'SERVICE ENTRY'!$N$4:$N$8)</f>
        <v>0</v>
      </c>
      <c r="S6" s="29"/>
      <c r="T6" s="29"/>
      <c r="U6" s="46" t="s">
        <v>122</v>
      </c>
      <c r="V6" s="38"/>
      <c r="W6" s="48" t="s">
        <v>194</v>
      </c>
      <c r="X6" s="38"/>
      <c r="Y6" s="29"/>
      <c r="Z6" s="29"/>
      <c r="AA6" s="29"/>
      <c r="AB6" s="46" t="s">
        <v>122</v>
      </c>
      <c r="AC6" s="41"/>
      <c r="AD6" s="48" t="s">
        <v>135</v>
      </c>
      <c r="AE6" s="41"/>
      <c r="AF6" s="50" t="s">
        <v>206</v>
      </c>
      <c r="AG6" s="41">
        <f>COUNTIF('SERVICE ENTRY'!$AB$4:$AB$1200,'Aggregated Report'!AF6)</f>
        <v>0</v>
      </c>
      <c r="AH6" s="41">
        <f>COUNTIFS('SERVICE ENTRY'!$AB$4:$AB$1200,AF6,'SERVICE ENTRY'!$G$4:$G$1200,"Black/African-American")</f>
        <v>0</v>
      </c>
      <c r="AI6" s="41">
        <f>COUNTIFS('SERVICE ENTRY'!$AB$4:$AB$1200,AF6,'SERVICE ENTRY'!$G$4:$G$1200,"Hispanic/Latino")</f>
        <v>0</v>
      </c>
      <c r="AJ6" s="41">
        <f>COUNTIFS('SERVICE ENTRY'!$AB$4:$AB$1200,$AF6,'SERVICE ENTRY'!$G$4:$G$1200,"White")</f>
        <v>0</v>
      </c>
      <c r="AK6" s="41">
        <f>COUNTIFS('SERVICE ENTRY'!$AB$4:$AB$1200,$AF6,'SERVICE ENTRY'!$G$4:$G$1200,"American Indian or Alaska Native")</f>
        <v>0</v>
      </c>
      <c r="AL6" s="41">
        <f>COUNTIFS('SERVICE ENTRY'!$AB$4:$AB$1200,$AF6,'SERVICE ENTRY'!$G$4:$G$1200,"Asian")</f>
        <v>0</v>
      </c>
      <c r="AM6" s="41">
        <f>COUNTIFS('SERVICE ENTRY'!$AB$4:$AB$1200,$AF6,'SERVICE ENTRY'!$G$4:$G$1200,"Native Hawaiian or Pacific Islander")</f>
        <v>0</v>
      </c>
      <c r="AN6" s="48" t="s">
        <v>138</v>
      </c>
      <c r="AO6" s="41"/>
      <c r="AP6" s="46" t="s">
        <v>122</v>
      </c>
      <c r="AQ6" s="41"/>
      <c r="AR6" s="46" t="s">
        <v>122</v>
      </c>
      <c r="AS6" s="41"/>
      <c r="AT6" s="48" t="s">
        <v>72</v>
      </c>
      <c r="AU6" s="43"/>
      <c r="AV6" s="50" t="s">
        <v>206</v>
      </c>
      <c r="AW6" s="43"/>
      <c r="AX6" s="48" t="s">
        <v>141</v>
      </c>
      <c r="AY6" s="43"/>
      <c r="AZ6" s="48" t="s">
        <v>174</v>
      </c>
      <c r="BA6" s="43"/>
      <c r="BB6" s="46" t="s">
        <v>122</v>
      </c>
      <c r="BC6" s="43"/>
      <c r="BD6" s="48" t="s">
        <v>72</v>
      </c>
      <c r="BE6" s="40"/>
      <c r="BF6" s="48" t="s">
        <v>209</v>
      </c>
      <c r="BG6" s="40"/>
      <c r="BH6" s="48" t="s">
        <v>73</v>
      </c>
      <c r="BI6" s="40"/>
      <c r="BJ6" s="48" t="s">
        <v>103</v>
      </c>
      <c r="BK6" s="44"/>
      <c r="BL6" s="48" t="s">
        <v>105</v>
      </c>
      <c r="BM6" s="45"/>
      <c r="BN6" s="48" t="s">
        <v>72</v>
      </c>
      <c r="BO6" s="36"/>
      <c r="BP6" s="50" t="s">
        <v>206</v>
      </c>
      <c r="BQ6" s="36"/>
      <c r="BR6" s="46" t="s">
        <v>122</v>
      </c>
      <c r="BS6" s="36"/>
      <c r="BT6" s="48" t="s">
        <v>72</v>
      </c>
      <c r="BU6" s="38"/>
      <c r="BV6" s="50" t="s">
        <v>206</v>
      </c>
      <c r="BW6" s="38"/>
      <c r="BX6" s="48" t="s">
        <v>174</v>
      </c>
      <c r="BY6" s="38"/>
      <c r="BZ6" s="48" t="s">
        <v>72</v>
      </c>
      <c r="CA6" s="41"/>
      <c r="CB6" s="48" t="s">
        <v>209</v>
      </c>
      <c r="CC6" s="41"/>
      <c r="CD6" s="46" t="s">
        <v>122</v>
      </c>
      <c r="CE6" s="41"/>
      <c r="CF6" s="46" t="s">
        <v>122</v>
      </c>
      <c r="CG6" s="41"/>
      <c r="CH6" s="46" t="s">
        <v>122</v>
      </c>
      <c r="CI6" s="41"/>
      <c r="CJ6" s="29"/>
      <c r="CK6" s="29"/>
    </row>
    <row r="7" spans="1:89" s="30" customFormat="1" ht="30" x14ac:dyDescent="0.25">
      <c r="A7" s="47" t="s">
        <v>6</v>
      </c>
      <c r="B7" s="35">
        <f>COUNTIF('SERVICE ENTRY'!$B$4:$B$1190, A7)</f>
        <v>0</v>
      </c>
      <c r="C7" s="46" t="s">
        <v>192</v>
      </c>
      <c r="D7" s="36">
        <f>COUNTIF('SERVICE ENTRY'!$D$4:$D$1200, C7)</f>
        <v>0</v>
      </c>
      <c r="E7" s="46" t="s">
        <v>125</v>
      </c>
      <c r="F7" s="36">
        <f>COUNTIF('SERVICE ENTRY'!$E$4:$E$1200, E7)</f>
        <v>0</v>
      </c>
      <c r="G7" s="49" t="s">
        <v>128</v>
      </c>
      <c r="H7" s="36">
        <f>COUNTIF('SERVICE ENTRY'!$G$4:$G$1200,G7)</f>
        <v>0</v>
      </c>
      <c r="I7" s="42" t="s">
        <v>233</v>
      </c>
      <c r="J7" s="36">
        <f>COUNTIF('SERVICE ENTRY'!$H$4:$I$1200, I7)</f>
        <v>0</v>
      </c>
      <c r="K7" s="29"/>
      <c r="L7" s="33"/>
      <c r="M7" s="48" t="s">
        <v>117</v>
      </c>
      <c r="N7" s="38">
        <f>COUNTIF('SERVICE ENTRY'!$K$4:$N$8, M7)</f>
        <v>0</v>
      </c>
      <c r="O7" s="28"/>
      <c r="P7" s="28"/>
      <c r="Q7" s="48" t="s">
        <v>117</v>
      </c>
      <c r="R7" s="39">
        <f>SUMIF('SERVICE ENTRY'!$L$4:$L$8,Q7, 'SERVICE ENTRY'!$N$4:$N$8)</f>
        <v>0</v>
      </c>
      <c r="S7" s="29"/>
      <c r="T7" s="29"/>
      <c r="U7" s="29"/>
      <c r="V7" s="29"/>
      <c r="W7" s="48" t="s">
        <v>203</v>
      </c>
      <c r="X7" s="38"/>
      <c r="Y7" s="29"/>
      <c r="Z7" s="29"/>
      <c r="AA7" s="29"/>
      <c r="AB7" s="29"/>
      <c r="AC7" s="29"/>
      <c r="AD7" s="48" t="s">
        <v>136</v>
      </c>
      <c r="AE7" s="41"/>
      <c r="AF7" s="50" t="s">
        <v>207</v>
      </c>
      <c r="AG7" s="41">
        <f>COUNTIF('SERVICE ENTRY'!$AB$4:$AB$1200,'Aggregated Report'!AF7)</f>
        <v>0</v>
      </c>
      <c r="AH7" s="41">
        <f>COUNTIFS('SERVICE ENTRY'!$AB$4:$AB$1200,AF7,'SERVICE ENTRY'!$G$4:$G$1200,"Black/African-American")</f>
        <v>0</v>
      </c>
      <c r="AI7" s="41">
        <f>COUNTIFS('SERVICE ENTRY'!$AB$4:$AB$1200,AF7,'SERVICE ENTRY'!$G$4:$G$1200,"Hispanic/Latino")</f>
        <v>0</v>
      </c>
      <c r="AJ7" s="41">
        <f>COUNTIFS('SERVICE ENTRY'!$AB$4:$AB$1200,$AF7,'SERVICE ENTRY'!$G$4:$G$1200,"White")</f>
        <v>0</v>
      </c>
      <c r="AK7" s="41">
        <f>COUNTIFS('SERVICE ENTRY'!$AB$4:$AB$1200,$AF7,'SERVICE ENTRY'!$G$4:$G$1200,"American Indian or Alaska Native")</f>
        <v>0</v>
      </c>
      <c r="AL7" s="41">
        <f>COUNTIFS('SERVICE ENTRY'!$AB$4:$AB$1200,$AF7,'SERVICE ENTRY'!$G$4:$G$1200,"Asian")</f>
        <v>0</v>
      </c>
      <c r="AM7" s="41">
        <f>COUNTIFS('SERVICE ENTRY'!$AB$4:$AB$1200,$AF7,'SERVICE ENTRY'!$G$4:$G$1200,"Native Hawaiian or Pacific Islander")</f>
        <v>0</v>
      </c>
      <c r="AN7" s="29"/>
      <c r="AO7" s="29"/>
      <c r="AP7" s="29"/>
      <c r="AQ7" s="29"/>
      <c r="AR7" s="29"/>
      <c r="AS7" s="29"/>
      <c r="AT7" s="48" t="s">
        <v>139</v>
      </c>
      <c r="AU7" s="43"/>
      <c r="AV7" s="50" t="s">
        <v>207</v>
      </c>
      <c r="AW7" s="43"/>
      <c r="AX7" s="48" t="s">
        <v>142</v>
      </c>
      <c r="AY7" s="43"/>
      <c r="AZ7" s="48" t="s">
        <v>99</v>
      </c>
      <c r="BA7" s="43"/>
      <c r="BB7" s="29"/>
      <c r="BC7" s="29"/>
      <c r="BD7" s="48" t="s">
        <v>139</v>
      </c>
      <c r="BE7" s="40"/>
      <c r="BF7" s="48" t="s">
        <v>208</v>
      </c>
      <c r="BG7" s="40"/>
      <c r="BH7" s="48" t="s">
        <v>145</v>
      </c>
      <c r="BI7" s="40"/>
      <c r="BJ7" s="48" t="s">
        <v>147</v>
      </c>
      <c r="BK7" s="44"/>
      <c r="BL7" s="48" t="s">
        <v>151</v>
      </c>
      <c r="BM7" s="45"/>
      <c r="BN7" s="48" t="s">
        <v>139</v>
      </c>
      <c r="BO7" s="36"/>
      <c r="BP7" s="50" t="s">
        <v>207</v>
      </c>
      <c r="BQ7" s="36"/>
      <c r="BR7" s="29"/>
      <c r="BS7" s="29"/>
      <c r="BT7" s="48" t="s">
        <v>139</v>
      </c>
      <c r="BU7" s="38"/>
      <c r="BV7" s="50" t="s">
        <v>207</v>
      </c>
      <c r="BW7" s="38"/>
      <c r="BX7" s="48" t="s">
        <v>99</v>
      </c>
      <c r="BY7" s="38"/>
      <c r="BZ7" s="48" t="s">
        <v>139</v>
      </c>
      <c r="CA7" s="41"/>
      <c r="CB7" s="48" t="s">
        <v>208</v>
      </c>
      <c r="CC7" s="41"/>
      <c r="CD7" s="29"/>
      <c r="CE7" s="29"/>
      <c r="CF7" s="29"/>
      <c r="CG7" s="29"/>
      <c r="CH7" s="29"/>
      <c r="CI7" s="29"/>
      <c r="CJ7" s="29"/>
      <c r="CK7" s="29"/>
    </row>
    <row r="8" spans="1:89" s="30" customFormat="1" ht="30" x14ac:dyDescent="0.25">
      <c r="A8" s="47" t="s">
        <v>7</v>
      </c>
      <c r="B8" s="35">
        <f>COUNTIF('SERVICE ENTRY'!$B$4:$B$1190, A8)</f>
        <v>0</v>
      </c>
      <c r="C8" s="46" t="s">
        <v>124</v>
      </c>
      <c r="D8" s="36">
        <f>COUNTIF('SERVICE ENTRY'!$D$4:$D$1200, C8)</f>
        <v>0</v>
      </c>
      <c r="E8" s="46" t="s">
        <v>122</v>
      </c>
      <c r="F8" s="36">
        <f>COUNTIF('SERVICE ENTRY'!$E$4:$E$1200, E8)</f>
        <v>0</v>
      </c>
      <c r="G8" s="49" t="s">
        <v>127</v>
      </c>
      <c r="H8" s="36">
        <f>COUNTIF('SERVICE ENTRY'!$G$4:$G$1200,G8)</f>
        <v>0</v>
      </c>
      <c r="I8" s="29"/>
      <c r="J8" s="32"/>
      <c r="K8" s="29"/>
      <c r="L8" s="33"/>
      <c r="M8" s="48" t="s">
        <v>131</v>
      </c>
      <c r="N8" s="38">
        <f>COUNTIF('SERVICE ENTRY'!$K$4:$N$8, M8)</f>
        <v>0</v>
      </c>
      <c r="O8" s="28"/>
      <c r="P8" s="28"/>
      <c r="Q8" s="48" t="s">
        <v>131</v>
      </c>
      <c r="R8" s="39">
        <f>SUMIF('SERVICE ENTRY'!$L$4:$L$8,Q8, 'SERVICE ENTRY'!$N$4:$N$8)</f>
        <v>0</v>
      </c>
      <c r="S8" s="29"/>
      <c r="T8" s="29"/>
      <c r="U8" s="29"/>
      <c r="V8" s="29"/>
      <c r="W8" s="48" t="s">
        <v>132</v>
      </c>
      <c r="X8" s="38"/>
      <c r="Y8" s="29"/>
      <c r="Z8" s="29"/>
      <c r="AA8" s="29"/>
      <c r="AB8" s="29"/>
      <c r="AC8" s="29"/>
      <c r="AD8" s="29"/>
      <c r="AE8" s="29"/>
      <c r="AF8" s="29"/>
      <c r="AG8" s="29"/>
      <c r="AH8" s="29"/>
      <c r="AI8" s="29"/>
      <c r="AJ8" s="29"/>
      <c r="AK8" s="29"/>
      <c r="AL8" s="49"/>
      <c r="AM8" s="29"/>
      <c r="AN8" s="29"/>
      <c r="AO8" s="29"/>
      <c r="AP8" s="29"/>
      <c r="AQ8" s="29"/>
      <c r="AR8" s="29"/>
      <c r="AS8" s="29"/>
      <c r="AT8" s="46" t="s">
        <v>122</v>
      </c>
      <c r="AU8" s="43"/>
      <c r="AV8" s="49"/>
      <c r="AW8" s="42"/>
      <c r="AX8" s="48" t="s">
        <v>143</v>
      </c>
      <c r="AY8" s="43"/>
      <c r="AZ8" s="48" t="s">
        <v>175</v>
      </c>
      <c r="BA8" s="43"/>
      <c r="BB8" s="29"/>
      <c r="BC8" s="29"/>
      <c r="BD8" s="46" t="s">
        <v>122</v>
      </c>
      <c r="BE8" s="40"/>
      <c r="BF8" s="48" t="s">
        <v>210</v>
      </c>
      <c r="BG8" s="40"/>
      <c r="BH8" s="48" t="s">
        <v>146</v>
      </c>
      <c r="BI8" s="40"/>
      <c r="BJ8" s="48" t="s">
        <v>148</v>
      </c>
      <c r="BK8" s="44"/>
      <c r="BL8" s="48" t="s">
        <v>104</v>
      </c>
      <c r="BM8" s="45"/>
      <c r="BN8" s="46" t="s">
        <v>122</v>
      </c>
      <c r="BO8" s="36"/>
      <c r="BP8" s="42"/>
      <c r="BQ8" s="42"/>
      <c r="BR8" s="29"/>
      <c r="BS8" s="29"/>
      <c r="BT8" s="46" t="s">
        <v>122</v>
      </c>
      <c r="BU8" s="38"/>
      <c r="BV8" s="42"/>
      <c r="BW8" s="42"/>
      <c r="BX8" s="48" t="s">
        <v>175</v>
      </c>
      <c r="BY8" s="38"/>
      <c r="BZ8" s="46" t="s">
        <v>122</v>
      </c>
      <c r="CA8" s="41"/>
      <c r="CB8" s="48" t="s">
        <v>210</v>
      </c>
      <c r="CC8" s="41"/>
      <c r="CD8" s="29"/>
      <c r="CE8" s="29"/>
      <c r="CF8" s="29"/>
      <c r="CG8" s="29"/>
      <c r="CH8" s="29"/>
      <c r="CI8" s="29"/>
      <c r="CJ8" s="29"/>
      <c r="CK8" s="29"/>
    </row>
    <row r="9" spans="1:89" s="30" customFormat="1" ht="52.5" customHeight="1" x14ac:dyDescent="0.25">
      <c r="A9" s="47" t="s">
        <v>8</v>
      </c>
      <c r="B9" s="35">
        <f>COUNTIF('SERVICE ENTRY'!$B$4:$B$1190, A9)</f>
        <v>0</v>
      </c>
      <c r="C9" s="29"/>
      <c r="D9" s="32"/>
      <c r="E9" s="29"/>
      <c r="F9" s="32"/>
      <c r="G9" s="49" t="s">
        <v>129</v>
      </c>
      <c r="H9" s="36">
        <f>COUNTIF('SERVICE ENTRY'!$G$4:$G$1200,G9)</f>
        <v>0</v>
      </c>
      <c r="I9" s="29"/>
      <c r="J9" s="32"/>
      <c r="K9" s="29"/>
      <c r="L9" s="33"/>
      <c r="M9" s="48" t="s">
        <v>132</v>
      </c>
      <c r="N9" s="38">
        <f>COUNTIF('SERVICE ENTRY'!$K$4:$N$8, M9)</f>
        <v>0</v>
      </c>
      <c r="O9" s="28"/>
      <c r="P9" s="28"/>
      <c r="Q9" s="48" t="s">
        <v>132</v>
      </c>
      <c r="R9" s="39">
        <f>SUMIF('SERVICE ENTRY'!$L$4:$L$8,Q9, 'SERVICE ENTRY'!$N$4:$N$8)</f>
        <v>0</v>
      </c>
      <c r="S9" s="29"/>
      <c r="T9" s="29"/>
      <c r="U9" s="29"/>
      <c r="V9" s="29"/>
      <c r="W9" s="46" t="s">
        <v>122</v>
      </c>
      <c r="X9" s="38"/>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48" t="s">
        <v>176</v>
      </c>
      <c r="BA9" s="43"/>
      <c r="BB9" s="29"/>
      <c r="BC9" s="29"/>
      <c r="BD9" s="29"/>
      <c r="BE9" s="29"/>
      <c r="BF9" s="48" t="s">
        <v>211</v>
      </c>
      <c r="BG9" s="40"/>
      <c r="BH9" s="29"/>
      <c r="BI9" s="29"/>
      <c r="BJ9" s="48" t="s">
        <v>107</v>
      </c>
      <c r="BK9" s="44"/>
      <c r="BL9" s="46" t="s">
        <v>237</v>
      </c>
      <c r="BM9" s="45"/>
      <c r="BN9" s="29"/>
      <c r="BO9" s="29"/>
      <c r="BP9" s="29"/>
      <c r="BQ9" s="29"/>
      <c r="BR9" s="29"/>
      <c r="BS9" s="29"/>
      <c r="BT9" s="29"/>
      <c r="BU9" s="29"/>
      <c r="BV9" s="29"/>
      <c r="BW9" s="29"/>
      <c r="BX9" s="48" t="s">
        <v>176</v>
      </c>
      <c r="BY9" s="38"/>
      <c r="BZ9" s="29"/>
      <c r="CA9" s="29"/>
      <c r="CB9" s="48" t="s">
        <v>211</v>
      </c>
      <c r="CC9" s="41"/>
      <c r="CD9" s="29"/>
      <c r="CE9" s="29"/>
      <c r="CF9" s="29"/>
      <c r="CG9" s="29"/>
      <c r="CH9" s="29"/>
      <c r="CI9" s="29"/>
      <c r="CJ9" s="29"/>
      <c r="CK9" s="29"/>
    </row>
    <row r="10" spans="1:89" s="30" customFormat="1" ht="30" x14ac:dyDescent="0.25">
      <c r="A10" s="47" t="s">
        <v>9</v>
      </c>
      <c r="B10" s="35">
        <f>COUNTIF('SERVICE ENTRY'!$B$4:$B$1190, A10)</f>
        <v>0</v>
      </c>
      <c r="C10" s="29"/>
      <c r="D10" s="32"/>
      <c r="E10" s="29"/>
      <c r="F10" s="32"/>
      <c r="G10" s="49" t="s">
        <v>191</v>
      </c>
      <c r="H10" s="36">
        <f>COUNTIF('SERVICE ENTRY'!$G$4:$G$1200,G10)</f>
        <v>0</v>
      </c>
      <c r="I10" s="29"/>
      <c r="J10" s="32"/>
      <c r="K10" s="29"/>
      <c r="L10" s="29"/>
      <c r="M10" s="29"/>
      <c r="N10" s="29"/>
      <c r="O10" s="28"/>
      <c r="P10" s="28"/>
      <c r="Q10" s="28"/>
      <c r="R10" s="28"/>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46" t="s">
        <v>236</v>
      </c>
      <c r="BA10" s="43"/>
      <c r="BB10" s="29"/>
      <c r="BC10" s="29"/>
      <c r="BD10" s="29"/>
      <c r="BE10" s="29"/>
      <c r="BF10" s="48" t="s">
        <v>212</v>
      </c>
      <c r="BG10" s="40"/>
      <c r="BH10" s="29"/>
      <c r="BI10" s="29"/>
      <c r="BJ10" s="29"/>
      <c r="BK10" s="29"/>
      <c r="BL10" s="29"/>
      <c r="BM10" s="29"/>
      <c r="BN10" s="29"/>
      <c r="BO10" s="29"/>
      <c r="BP10" s="29"/>
      <c r="BQ10" s="29"/>
      <c r="BR10" s="29"/>
      <c r="BS10" s="29"/>
      <c r="BT10" s="29"/>
      <c r="BU10" s="29"/>
      <c r="BV10" s="29"/>
      <c r="BW10" s="29"/>
      <c r="BX10" s="46" t="s">
        <v>236</v>
      </c>
      <c r="BY10" s="38"/>
      <c r="BZ10" s="29"/>
      <c r="CA10" s="29"/>
      <c r="CB10" s="48" t="s">
        <v>212</v>
      </c>
      <c r="CC10" s="41"/>
      <c r="CD10" s="29"/>
      <c r="CE10" s="29"/>
      <c r="CF10" s="29"/>
      <c r="CG10" s="29"/>
      <c r="CH10" s="29"/>
      <c r="CI10" s="29"/>
      <c r="CJ10" s="29"/>
      <c r="CK10" s="29"/>
    </row>
    <row r="11" spans="1:89" s="30" customFormat="1" x14ac:dyDescent="0.25">
      <c r="A11" s="47" t="s">
        <v>10</v>
      </c>
      <c r="B11" s="35">
        <f>COUNTIF('SERVICE ENTRY'!$B$4:$B$1190, A11)</f>
        <v>0</v>
      </c>
      <c r="C11" s="29"/>
      <c r="D11" s="32"/>
      <c r="E11" s="29"/>
      <c r="F11" s="32"/>
      <c r="G11" s="29"/>
      <c r="H11" s="32"/>
      <c r="I11" s="29"/>
      <c r="J11" s="32"/>
      <c r="K11" s="29"/>
      <c r="L11" s="29"/>
      <c r="M11" s="29"/>
      <c r="N11" s="29"/>
      <c r="O11" s="28"/>
      <c r="P11" s="28"/>
      <c r="Q11" s="28"/>
      <c r="R11" s="28"/>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46" t="s">
        <v>122</v>
      </c>
      <c r="BA11" s="43"/>
      <c r="BB11" s="29"/>
      <c r="BC11" s="29"/>
      <c r="BD11" s="29"/>
      <c r="BE11" s="29"/>
      <c r="BF11" s="48" t="s">
        <v>213</v>
      </c>
      <c r="BG11" s="40"/>
      <c r="BH11" s="29"/>
      <c r="BI11" s="29"/>
      <c r="BJ11" s="29"/>
      <c r="BK11" s="29"/>
      <c r="BL11" s="29"/>
      <c r="BM11" s="29"/>
      <c r="BN11" s="29"/>
      <c r="BO11" s="29"/>
      <c r="BP11" s="29"/>
      <c r="BQ11" s="29"/>
      <c r="BR11" s="29"/>
      <c r="BS11" s="29"/>
      <c r="BT11" s="29"/>
      <c r="BU11" s="29"/>
      <c r="BV11" s="29"/>
      <c r="BW11" s="29"/>
      <c r="BX11" s="46" t="s">
        <v>122</v>
      </c>
      <c r="BY11" s="38"/>
      <c r="BZ11" s="29"/>
      <c r="CA11" s="29"/>
      <c r="CB11" s="48" t="s">
        <v>213</v>
      </c>
      <c r="CC11" s="41"/>
      <c r="CD11" s="29"/>
      <c r="CE11" s="29"/>
      <c r="CF11" s="29"/>
      <c r="CG11" s="29"/>
      <c r="CH11" s="29"/>
      <c r="CI11" s="29"/>
      <c r="CJ11" s="29"/>
      <c r="CK11" s="29"/>
    </row>
    <row r="12" spans="1:89" s="30" customFormat="1" x14ac:dyDescent="0.25">
      <c r="A12" s="47" t="s">
        <v>11</v>
      </c>
      <c r="B12" s="35">
        <f>COUNTIF('SERVICE ENTRY'!$B$4:$B$1190, A12)</f>
        <v>0</v>
      </c>
      <c r="C12" s="29"/>
      <c r="D12" s="32"/>
      <c r="E12" s="29"/>
      <c r="F12" s="32"/>
      <c r="G12" s="29"/>
      <c r="H12" s="32"/>
      <c r="I12" s="29"/>
      <c r="J12" s="32"/>
      <c r="K12" s="29"/>
      <c r="L12" s="29"/>
      <c r="M12" s="29"/>
      <c r="N12" s="29"/>
      <c r="O12" s="28"/>
      <c r="P12" s="28"/>
      <c r="Q12" s="28"/>
      <c r="R12" s="28"/>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row>
    <row r="13" spans="1:89" s="30" customFormat="1" x14ac:dyDescent="0.25">
      <c r="A13" s="47" t="s">
        <v>12</v>
      </c>
      <c r="B13" s="35">
        <f>COUNTIF('SERVICE ENTRY'!$B$4:$B$1190, A13)</f>
        <v>0</v>
      </c>
      <c r="C13" s="29"/>
      <c r="D13" s="32"/>
      <c r="E13" s="29"/>
      <c r="F13" s="32"/>
      <c r="G13" s="29"/>
      <c r="H13" s="32"/>
      <c r="I13" s="29"/>
      <c r="J13" s="32"/>
      <c r="K13" s="29"/>
      <c r="L13" s="29"/>
      <c r="M13" s="29"/>
      <c r="N13" s="29"/>
      <c r="O13" s="28"/>
      <c r="P13" s="28"/>
      <c r="Q13" s="28"/>
      <c r="R13" s="28"/>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row>
    <row r="14" spans="1:89" s="30" customFormat="1" x14ac:dyDescent="0.25">
      <c r="A14" s="47" t="s">
        <v>13</v>
      </c>
      <c r="B14" s="35">
        <f>COUNTIF('SERVICE ENTRY'!$B$4:$B$1190, A14)</f>
        <v>0</v>
      </c>
      <c r="C14" s="29"/>
      <c r="D14" s="32"/>
      <c r="E14" s="29"/>
      <c r="F14" s="32"/>
      <c r="G14" s="29"/>
      <c r="H14" s="32"/>
      <c r="I14" s="29"/>
      <c r="J14" s="32"/>
      <c r="K14" s="29"/>
      <c r="L14" s="29"/>
      <c r="M14" s="29"/>
      <c r="N14" s="29"/>
      <c r="O14" s="28"/>
      <c r="P14" s="28"/>
      <c r="Q14" s="28"/>
      <c r="R14" s="28"/>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row>
    <row r="15" spans="1:89" s="30" customFormat="1" x14ac:dyDescent="0.25">
      <c r="A15" s="47" t="s">
        <v>14</v>
      </c>
      <c r="B15" s="35">
        <f>COUNTIF('SERVICE ENTRY'!$B$4:$B$1190, A15)</f>
        <v>0</v>
      </c>
      <c r="C15" s="29"/>
      <c r="D15" s="32"/>
      <c r="E15" s="29"/>
      <c r="F15" s="32"/>
      <c r="G15" s="29"/>
      <c r="H15" s="32"/>
      <c r="I15" s="29"/>
      <c r="J15" s="32"/>
      <c r="K15" s="29"/>
      <c r="L15" s="29"/>
      <c r="M15" s="29"/>
      <c r="N15" s="29"/>
      <c r="O15" s="28"/>
      <c r="P15" s="28"/>
      <c r="Q15" s="28"/>
      <c r="R15" s="28"/>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row>
    <row r="16" spans="1:89" s="30" customFormat="1" x14ac:dyDescent="0.25">
      <c r="A16" s="47" t="s">
        <v>15</v>
      </c>
      <c r="B16" s="35">
        <f>COUNTIF('SERVICE ENTRY'!$B$4:$B$1190, A16)</f>
        <v>0</v>
      </c>
      <c r="C16" s="29"/>
      <c r="D16" s="32"/>
      <c r="E16" s="29"/>
      <c r="F16" s="32"/>
      <c r="G16" s="29"/>
      <c r="H16" s="32"/>
      <c r="I16" s="29"/>
      <c r="J16" s="32"/>
      <c r="K16" s="29"/>
      <c r="L16" s="29"/>
      <c r="M16" s="29"/>
      <c r="N16" s="29"/>
      <c r="O16" s="28"/>
      <c r="P16" s="28"/>
      <c r="Q16" s="28"/>
      <c r="R16" s="28"/>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row>
    <row r="17" spans="1:89" s="30" customFormat="1" x14ac:dyDescent="0.25">
      <c r="A17" s="47" t="s">
        <v>16</v>
      </c>
      <c r="B17" s="35">
        <f>COUNTIF('SERVICE ENTRY'!$B$4:$B$1190, A17)</f>
        <v>0</v>
      </c>
      <c r="C17" s="29"/>
      <c r="D17" s="32"/>
      <c r="E17" s="29"/>
      <c r="F17" s="32"/>
      <c r="G17" s="29"/>
      <c r="H17" s="32"/>
      <c r="I17" s="29"/>
      <c r="J17" s="32"/>
      <c r="K17" s="29"/>
      <c r="L17" s="29"/>
      <c r="M17" s="29"/>
      <c r="N17" s="29"/>
      <c r="O17" s="28"/>
      <c r="P17" s="28"/>
      <c r="Q17" s="28"/>
      <c r="R17" s="28"/>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row>
    <row r="18" spans="1:89" s="30" customFormat="1" x14ac:dyDescent="0.25">
      <c r="A18" s="47" t="s">
        <v>17</v>
      </c>
      <c r="B18" s="35">
        <f>COUNTIF('SERVICE ENTRY'!$B$4:$B$1190, A18)</f>
        <v>0</v>
      </c>
      <c r="C18" s="29"/>
      <c r="D18" s="32"/>
      <c r="E18" s="29"/>
      <c r="F18" s="32"/>
      <c r="G18" s="29"/>
      <c r="H18" s="32"/>
      <c r="I18" s="29"/>
      <c r="J18" s="32"/>
      <c r="K18" s="29"/>
      <c r="L18" s="29"/>
      <c r="M18" s="29"/>
      <c r="N18" s="29"/>
      <c r="O18" s="28"/>
      <c r="P18" s="28"/>
      <c r="Q18" s="28"/>
      <c r="R18" s="28"/>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row>
    <row r="19" spans="1:89" s="30" customFormat="1" x14ac:dyDescent="0.25">
      <c r="A19" s="47" t="s">
        <v>18</v>
      </c>
      <c r="B19" s="35">
        <f>COUNTIF('SERVICE ENTRY'!$B$4:$B$1190, A19)</f>
        <v>0</v>
      </c>
      <c r="C19" s="29"/>
      <c r="D19" s="32"/>
      <c r="E19" s="29"/>
      <c r="F19" s="32"/>
      <c r="G19" s="29"/>
      <c r="H19" s="32"/>
      <c r="I19" s="29"/>
      <c r="J19" s="32"/>
      <c r="K19" s="29"/>
      <c r="L19" s="29"/>
      <c r="M19" s="29"/>
      <c r="N19" s="29"/>
      <c r="O19" s="28"/>
      <c r="P19" s="28"/>
      <c r="Q19" s="28"/>
      <c r="R19" s="28"/>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row>
    <row r="20" spans="1:89" s="30" customFormat="1" x14ac:dyDescent="0.25">
      <c r="A20" s="47" t="s">
        <v>19</v>
      </c>
      <c r="B20" s="35">
        <f>COUNTIF('SERVICE ENTRY'!$B$4:$B$1190, A20)</f>
        <v>0</v>
      </c>
      <c r="C20" s="29"/>
      <c r="D20" s="32"/>
      <c r="E20" s="29"/>
      <c r="F20" s="32"/>
      <c r="G20" s="29"/>
      <c r="H20" s="32"/>
      <c r="I20" s="29"/>
      <c r="J20" s="32"/>
      <c r="K20" s="29"/>
      <c r="L20" s="29"/>
      <c r="M20" s="29"/>
      <c r="N20" s="29"/>
      <c r="O20" s="28"/>
      <c r="P20" s="28"/>
      <c r="Q20" s="28"/>
      <c r="R20" s="28"/>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row>
    <row r="21" spans="1:89" x14ac:dyDescent="0.25">
      <c r="A21" s="47" t="s">
        <v>20</v>
      </c>
      <c r="B21" s="35">
        <f>COUNTIF('SERVICE ENTRY'!$B$4:$B$1190, A21)</f>
        <v>0</v>
      </c>
    </row>
    <row r="22" spans="1:89" x14ac:dyDescent="0.25">
      <c r="A22" s="47" t="s">
        <v>21</v>
      </c>
      <c r="B22" s="35">
        <f>COUNTIF('SERVICE ENTRY'!$B$4:$B$1190, A22)</f>
        <v>0</v>
      </c>
    </row>
    <row r="23" spans="1:89" x14ac:dyDescent="0.25">
      <c r="A23" s="47" t="s">
        <v>22</v>
      </c>
      <c r="B23" s="35">
        <f>COUNTIF('SERVICE ENTRY'!$B$4:$B$1190, A23)</f>
        <v>0</v>
      </c>
    </row>
    <row r="24" spans="1:89" x14ac:dyDescent="0.25">
      <c r="A24" s="47" t="s">
        <v>23</v>
      </c>
      <c r="B24" s="35">
        <f>COUNTIF('SERVICE ENTRY'!$B$4:$B$1190, A24)</f>
        <v>0</v>
      </c>
    </row>
    <row r="25" spans="1:89" x14ac:dyDescent="0.25">
      <c r="A25" s="47" t="s">
        <v>24</v>
      </c>
      <c r="B25" s="35">
        <f>COUNTIF('SERVICE ENTRY'!$B$4:$B$1190, A25)</f>
        <v>0</v>
      </c>
    </row>
    <row r="26" spans="1:89" x14ac:dyDescent="0.25">
      <c r="A26" s="47" t="s">
        <v>25</v>
      </c>
      <c r="B26" s="35">
        <f>COUNTIF('SERVICE ENTRY'!$B$4:$B$1190, A26)</f>
        <v>0</v>
      </c>
    </row>
    <row r="27" spans="1:89" x14ac:dyDescent="0.25">
      <c r="A27" s="47" t="s">
        <v>26</v>
      </c>
      <c r="B27" s="35">
        <f>COUNTIF('SERVICE ENTRY'!$B$4:$B$1190, A27)</f>
        <v>0</v>
      </c>
    </row>
    <row r="28" spans="1:89" x14ac:dyDescent="0.25">
      <c r="A28" s="47" t="s">
        <v>27</v>
      </c>
      <c r="B28" s="35">
        <f>COUNTIF('SERVICE ENTRY'!$B$4:$B$1190, A28)</f>
        <v>0</v>
      </c>
    </row>
    <row r="29" spans="1:89" x14ac:dyDescent="0.25">
      <c r="A29" s="47" t="s">
        <v>28</v>
      </c>
      <c r="B29" s="35">
        <f>COUNTIF('SERVICE ENTRY'!$B$4:$B$1190, A29)</f>
        <v>0</v>
      </c>
    </row>
    <row r="30" spans="1:89" x14ac:dyDescent="0.25">
      <c r="A30" s="47" t="s">
        <v>29</v>
      </c>
      <c r="B30" s="35">
        <f>COUNTIF('SERVICE ENTRY'!$B$4:$B$1190, A30)</f>
        <v>0</v>
      </c>
    </row>
    <row r="31" spans="1:89" x14ac:dyDescent="0.25">
      <c r="A31" s="47" t="s">
        <v>30</v>
      </c>
      <c r="B31" s="35">
        <f>COUNTIF('SERVICE ENTRY'!$B$4:$B$1190, A31)</f>
        <v>0</v>
      </c>
    </row>
    <row r="32" spans="1:89" x14ac:dyDescent="0.25">
      <c r="A32" s="47" t="s">
        <v>31</v>
      </c>
      <c r="B32" s="35">
        <f>COUNTIF('SERVICE ENTRY'!$B$4:$B$1190, A32)</f>
        <v>0</v>
      </c>
    </row>
    <row r="33" spans="1:2" x14ac:dyDescent="0.25">
      <c r="A33" s="47" t="s">
        <v>32</v>
      </c>
      <c r="B33" s="35">
        <f>COUNTIF('SERVICE ENTRY'!$B$4:$B$1190, A33)</f>
        <v>0</v>
      </c>
    </row>
    <row r="34" spans="1:2" x14ac:dyDescent="0.25">
      <c r="A34" s="47" t="s">
        <v>33</v>
      </c>
      <c r="B34" s="35">
        <f>COUNTIF('SERVICE ENTRY'!$B$4:$B$1190, A34)</f>
        <v>0</v>
      </c>
    </row>
    <row r="35" spans="1:2" x14ac:dyDescent="0.25">
      <c r="A35" s="47" t="s">
        <v>34</v>
      </c>
      <c r="B35" s="35">
        <f>COUNTIF('SERVICE ENTRY'!$B$4:$B$1190, A35)</f>
        <v>0</v>
      </c>
    </row>
    <row r="36" spans="1:2" x14ac:dyDescent="0.25">
      <c r="A36" s="47" t="s">
        <v>35</v>
      </c>
      <c r="B36" s="35">
        <f>COUNTIF('SERVICE ENTRY'!$B$4:$B$1190, A36)</f>
        <v>0</v>
      </c>
    </row>
    <row r="37" spans="1:2" x14ac:dyDescent="0.25">
      <c r="A37" s="47" t="s">
        <v>36</v>
      </c>
      <c r="B37" s="35">
        <f>COUNTIF('SERVICE ENTRY'!$B$4:$B$1190, A37)</f>
        <v>0</v>
      </c>
    </row>
    <row r="38" spans="1:2" x14ac:dyDescent="0.25">
      <c r="A38" s="47" t="s">
        <v>37</v>
      </c>
      <c r="B38" s="35">
        <f>COUNTIF('SERVICE ENTRY'!$B$4:$B$1190, A38)</f>
        <v>0</v>
      </c>
    </row>
    <row r="39" spans="1:2" x14ac:dyDescent="0.25">
      <c r="A39" s="47" t="s">
        <v>38</v>
      </c>
      <c r="B39" s="35">
        <f>COUNTIF('SERVICE ENTRY'!$B$4:$B$1190, A39)</f>
        <v>0</v>
      </c>
    </row>
    <row r="40" spans="1:2" x14ac:dyDescent="0.25">
      <c r="A40" s="47" t="s">
        <v>39</v>
      </c>
      <c r="B40" s="35">
        <f>COUNTIF('SERVICE ENTRY'!$B$4:$B$1190, A40)</f>
        <v>0</v>
      </c>
    </row>
    <row r="41" spans="1:2" x14ac:dyDescent="0.25">
      <c r="A41" s="47" t="s">
        <v>40</v>
      </c>
      <c r="B41" s="35">
        <f>COUNTIF('SERVICE ENTRY'!$B$4:$B$1190, A41)</f>
        <v>0</v>
      </c>
    </row>
    <row r="42" spans="1:2" x14ac:dyDescent="0.25">
      <c r="A42" s="47" t="s">
        <v>41</v>
      </c>
      <c r="B42" s="35">
        <f>COUNTIF('SERVICE ENTRY'!$B$4:$B$1190, A42)</f>
        <v>0</v>
      </c>
    </row>
    <row r="43" spans="1:2" x14ac:dyDescent="0.25">
      <c r="A43" s="47" t="s">
        <v>42</v>
      </c>
      <c r="B43" s="35">
        <f>COUNTIF('SERVICE ENTRY'!$B$4:$B$1190, A43)</f>
        <v>0</v>
      </c>
    </row>
    <row r="44" spans="1:2" x14ac:dyDescent="0.25">
      <c r="A44" s="47" t="s">
        <v>43</v>
      </c>
      <c r="B44" s="35">
        <f>COUNTIF('SERVICE ENTRY'!$B$4:$B$1190, A44)</f>
        <v>0</v>
      </c>
    </row>
    <row r="45" spans="1:2" x14ac:dyDescent="0.25">
      <c r="A45" s="47" t="s">
        <v>44</v>
      </c>
      <c r="B45" s="35">
        <f>COUNTIF('SERVICE ENTRY'!$B$4:$B$1190, A45)</f>
        <v>0</v>
      </c>
    </row>
    <row r="46" spans="1:2" x14ac:dyDescent="0.25">
      <c r="A46" s="47" t="s">
        <v>45</v>
      </c>
      <c r="B46" s="35">
        <f>COUNTIF('SERVICE ENTRY'!$B$4:$B$1190, A46)</f>
        <v>0</v>
      </c>
    </row>
    <row r="47" spans="1:2" x14ac:dyDescent="0.25">
      <c r="A47" s="47" t="s">
        <v>46</v>
      </c>
      <c r="B47" s="35">
        <f>COUNTIF('SERVICE ENTRY'!$B$4:$B$1190, A47)</f>
        <v>0</v>
      </c>
    </row>
    <row r="48" spans="1:2" x14ac:dyDescent="0.25">
      <c r="A48" s="47" t="s">
        <v>47</v>
      </c>
      <c r="B48" s="35">
        <f>COUNTIF('SERVICE ENTRY'!$B$4:$B$1190, A48)</f>
        <v>0</v>
      </c>
    </row>
    <row r="49" spans="1:2" x14ac:dyDescent="0.25">
      <c r="A49" s="47" t="s">
        <v>48</v>
      </c>
      <c r="B49" s="35">
        <f>COUNTIF('SERVICE ENTRY'!$B$4:$B$1190, A49)</f>
        <v>0</v>
      </c>
    </row>
    <row r="50" spans="1:2" x14ac:dyDescent="0.25">
      <c r="A50" s="47" t="s">
        <v>49</v>
      </c>
      <c r="B50" s="35">
        <f>COUNTIF('SERVICE ENTRY'!$B$4:$B$1190, A50)</f>
        <v>0</v>
      </c>
    </row>
    <row r="51" spans="1:2" x14ac:dyDescent="0.25">
      <c r="A51" s="47" t="s">
        <v>50</v>
      </c>
      <c r="B51" s="35">
        <f>COUNTIF('SERVICE ENTRY'!$B$4:$B$1190, A51)</f>
        <v>0</v>
      </c>
    </row>
    <row r="52" spans="1:2" x14ac:dyDescent="0.25">
      <c r="A52" s="47" t="s">
        <v>51</v>
      </c>
      <c r="B52" s="35">
        <f>COUNTIF('SERVICE ENTRY'!$B$4:$B$1190, A52)</f>
        <v>0</v>
      </c>
    </row>
    <row r="53" spans="1:2" x14ac:dyDescent="0.25">
      <c r="A53" s="47" t="s">
        <v>52</v>
      </c>
      <c r="B53" s="35">
        <f>COUNTIF('SERVICE ENTRY'!$B$4:$B$1190, A53)</f>
        <v>0</v>
      </c>
    </row>
  </sheetData>
  <mergeCells count="16">
    <mergeCell ref="CJ2:CK2"/>
    <mergeCell ref="BL1:BM2"/>
    <mergeCell ref="O3:R3"/>
    <mergeCell ref="BN2:BS2"/>
    <mergeCell ref="BT2:BY2"/>
    <mergeCell ref="CJ1:CK1"/>
    <mergeCell ref="AB2:AR2"/>
    <mergeCell ref="BD2:BI2"/>
    <mergeCell ref="BN1:CI1"/>
    <mergeCell ref="BZ2:CI2"/>
    <mergeCell ref="A1:J2"/>
    <mergeCell ref="Y1:AA2"/>
    <mergeCell ref="AB1:BI1"/>
    <mergeCell ref="BJ1:BK2"/>
    <mergeCell ref="K1:X2"/>
    <mergeCell ref="AT2:BC2"/>
  </mergeCells>
  <pageMargins left="0.7" right="0.7" top="0.75" bottom="0.75" header="0.3" footer="0.3"/>
  <pageSetup orientation="portrait" r:id="rId1"/>
  <ignoredErrors>
    <ignoredError sqref="AK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499984740745262"/>
  </sheetPr>
  <dimension ref="A1:V814"/>
  <sheetViews>
    <sheetView zoomScale="70" zoomScaleNormal="70" workbookViewId="0">
      <selection activeCell="M188" sqref="M188"/>
    </sheetView>
  </sheetViews>
  <sheetFormatPr defaultRowHeight="15" x14ac:dyDescent="0.25"/>
  <cols>
    <col min="1" max="1" width="33.28515625" customWidth="1"/>
    <col min="2" max="2" width="21.7109375" customWidth="1"/>
    <col min="3" max="3" width="19.28515625" customWidth="1"/>
    <col min="4" max="4" width="18.7109375" customWidth="1"/>
    <col min="5" max="5" width="21.42578125" customWidth="1"/>
    <col min="6" max="6" width="18.140625" customWidth="1"/>
    <col min="7" max="7" width="19.5703125" customWidth="1"/>
    <col min="8" max="9" width="20.5703125" style="241" customWidth="1"/>
    <col min="10" max="10" width="18.85546875" style="241" customWidth="1"/>
    <col min="11" max="11" width="21.85546875" style="240" customWidth="1"/>
    <col min="12" max="12" width="21.85546875" style="185" customWidth="1"/>
    <col min="13" max="13" width="17.5703125" customWidth="1"/>
    <col min="14" max="14" width="9.140625" customWidth="1"/>
  </cols>
  <sheetData>
    <row r="1" spans="1:22" ht="95.25" customHeight="1" x14ac:dyDescent="0.25">
      <c r="A1" s="141" t="s">
        <v>338</v>
      </c>
      <c r="B1" s="130" t="s">
        <v>339</v>
      </c>
      <c r="C1" s="134" t="s">
        <v>340</v>
      </c>
      <c r="D1" s="135" t="s">
        <v>341</v>
      </c>
      <c r="E1" s="136" t="s">
        <v>286</v>
      </c>
      <c r="F1" s="137" t="s">
        <v>342</v>
      </c>
      <c r="G1" s="5" t="s">
        <v>285</v>
      </c>
      <c r="H1" s="138" t="s">
        <v>343</v>
      </c>
      <c r="I1" s="138" t="s">
        <v>287</v>
      </c>
      <c r="J1" s="212" t="s">
        <v>284</v>
      </c>
      <c r="K1" s="86" t="s">
        <v>344</v>
      </c>
      <c r="O1" s="85"/>
      <c r="Q1" s="85"/>
      <c r="R1" s="85"/>
      <c r="S1" s="85"/>
      <c r="T1" s="85"/>
      <c r="U1" s="85"/>
      <c r="V1" s="85"/>
    </row>
    <row r="2" spans="1:22" x14ac:dyDescent="0.25">
      <c r="A2" s="169" t="s">
        <v>623</v>
      </c>
      <c r="B2" s="91">
        <f>COUNTIF('SERVICE ENTRY'!$C$4:$C$1200,'County Report'!A2)</f>
        <v>0</v>
      </c>
      <c r="C2" s="124">
        <f>SUMIF('SERVICE ENTRY'!$C$4:$C$1200,'County Report'!A2,'SERVICE ENTRY'!$N$4:$N$1200)</f>
        <v>0</v>
      </c>
      <c r="D2" s="91">
        <f>SUM(COUNTIFS('SERVICE ENTRY'!$C$4:$C$1200,'County Report'!A2,'SERVICE ENTRY'!$AC$4:$AC$1200,{"Mammogram","Clinical breast exam","Genetic testing/counseling"}),COUNTIFS('SERVICE ENTRY'!$C$4:$C$1200,'County Report'!A2,'SERVICE ENTRY'!$AD$4:$AD$1200,{"Mammogram","Clinical breast exam","Genetic testing/counseling"}))</f>
        <v>0</v>
      </c>
      <c r="E2" s="239">
        <f>COUNTIFS('SERVICE ENTRY'!$C$4:$C$1200,'County Report'!A2,'SERVICE ENTRY'!$BB$4:$BB$1200,"0-30 days")+COUNTIFS('SERVICE ENTRY'!$C$4:$C$1200,'County Report'!A2,'SERVICE ENTRY'!$BB$4:$BB$1200,"31-60 days")+COUNTIFS('SERVICE ENTRY'!$C$4:$C$1200,'County Report'!A2,'SERVICE ENTRY'!$BB$4:$BB$1200,"61-90 days")+COUNTIFS('SERVICE ENTRY'!$C$4:$C$1200,'County Report'!A2,'SERVICE ENTRY'!$BB$4:$BB$1200,"More than 90 days")+COUNTIFS('SERVICE ENTRY'!$C$4:$C$1200,'County Report'!A2,'SERVICE ENTRY'!$BB$4:$BB$1200,"Unknown")</f>
        <v>0</v>
      </c>
      <c r="F2" s="91">
        <f>O1+SUM(COUNTIFS('SERVICE ENTRY'!$AK$4:$AK$1200,{"Diagnostic mammogram","Breast ultrasound","Biopsy","Breast MRI","Genomic testing to guide treatment"},'SERVICE ENTRY'!$C$4:$C$1200,'County Report'!A2))</f>
        <v>0</v>
      </c>
      <c r="G2" s="239">
        <f>SUM(COUNTIFS('SERVICE ENTRY'!$C$4:$C$1200,'County Report'!A2,'SERVICE ENTRY'!$BE$4:$BE$1200,{"0-30 days","31-60 days","61-90 days","More than 90 days","Unknown"}))</f>
        <v>0</v>
      </c>
      <c r="H2" s="91">
        <f>SUM(COUNTIFS('SERVICE ENTRY'!$AP$4:$AP$1200,{"Chemotherapy","Radiation therapy","Surgery","Hormone therapy","Targeted Therapy"},'SERVICE ENTRY'!$C$4:$C$1200,'County Report'!A2))+SUM(COUNTIFS('SERVICE ENTRY'!$AQ$4:$AQ$1200,{"Chemotherapy","Radiation therapy","Surgery","Hormone therapy","Targeted Therapy"},'SERVICE ENTRY'!$C$4:$C$1200,'County Report'!A2))+SUM(COUNTIFS('SERVICE ENTRY'!$AR$4:$AR$1200,{"Chemotherapy","Radiation therapy","Surgery","Hormone therapy","Targeted Therapy"},'SERVICE ENTRY'!$C$4:$C$1200,'County Report'!A2))</f>
        <v>0</v>
      </c>
      <c r="I2" s="91">
        <f>SUM(COUNTIFS('SERVICE ENTRY'!$C$4:$C$1200,'County Report'!A2,'SERVICE ENTRY'!$BH$4:$BH$1200,{"0-30 days","31-60 days","61-90 days","More than 90 days","Unknown"}))</f>
        <v>0</v>
      </c>
      <c r="J2"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f>
        <v>0</v>
      </c>
      <c r="K2" s="91">
        <f>SUM(COUNTIFS('SERVICE ENTRY'!$AW$4:$AW$1200,{"Transportation","Interpretation/translation services","Co-pay/deductible assistance","Daily living expenses","Childcare"},'SERVICE ENTRY'!$C$4:$C$1200,'County Report'!A2))+SUM(COUNTIFS('SERVICE ENTRY'!$AX$4:$AX$1200,{"Transportation","Interpretation/translation services","Co-pay/deductible assistance","Daily living expenses","Childcare"},'SERVICE ENTRY'!$C$4:$C$1200,'County Report'!A2))+SUM(COUNTIFS('SERVICE ENTRY'!$AY$4:$AY$1200,{"Transportation","Interpretation/translation services","Co-pay/deductible assistance","Daily living expenses","Childcare"},'SERVICE ENTRY'!$C$4:$C$1200,'County Report'!A2))+SUM(COUNTIFS('SERVICE ENTRY'!$AZ$4:$AZ$1200,{"Transportation","Interpretation/translation services","Co-pay/deductible assistance","Daily living expenses","Childcare"},'SERVICE ENTRY'!$C$4:$C$1200,'County Report'!A2))+SUM(COUNTIFS('SERVICE ENTRY'!$BA$4:$BA$1200,{"Transportation","Interpretation/translation services","Co-pay/deductible assistance","Daily living expenses","Childcare"},'SERVICE ENTRY'!$C$4:$C$1200,'County Report'!A2))</f>
        <v>0</v>
      </c>
      <c r="L2" s="357"/>
      <c r="M2" s="357"/>
    </row>
    <row r="3" spans="1:22" x14ac:dyDescent="0.25">
      <c r="A3" s="167" t="s">
        <v>624</v>
      </c>
      <c r="B3" s="91">
        <f>COUNTIF('SERVICE ENTRY'!$C$4:$C$1200,'County Report'!A3)</f>
        <v>0</v>
      </c>
      <c r="C3" s="124">
        <f>SUMIF('SERVICE ENTRY'!$C$4:$C$1200,'County Report'!A3,'SERVICE ENTRY'!$N$4:$N$1200)</f>
        <v>0</v>
      </c>
      <c r="D3" s="91">
        <f>SUM(COUNTIFS('SERVICE ENTRY'!$C$4:$C$1200,'County Report'!A3,'SERVICE ENTRY'!$AC$4:$AC$1200,{"Mammogram","Clinical breast exam","Genetic testing/counseling"}),COUNTIFS('SERVICE ENTRY'!$C$4:$C$1200,'County Report'!A3,'SERVICE ENTRY'!$AD$4:$AD$1200,{"Mammogram","Clinical breast exam","Genetic testing/counseling"}))</f>
        <v>0</v>
      </c>
      <c r="E3" s="91">
        <f>COUNTIFS('SERVICE ENTRY'!$C$4:$C$1200,'County Report'!A3,'SERVICE ENTRY'!$BB$4:$BB$1200,"0-30 days")+COUNTIFS('SERVICE ENTRY'!$C$4:$C$1200,'County Report'!A3,'SERVICE ENTRY'!$BB$4:$BB$1200,"31-60 days")+COUNTIFS('SERVICE ENTRY'!$C$4:$C$1200,'County Report'!A3,'SERVICE ENTRY'!$BB$4:$BB$1200,"61-90 days")+COUNTIFS('SERVICE ENTRY'!$C$4:$C$1200,'County Report'!A3,'SERVICE ENTRY'!$BB$4:$BB$1200,"More than 90 days")+COUNTIFS('SERVICE ENTRY'!$C$4:$C$1200,'County Report'!A3,'SERVICE ENTRY'!$BB$4:$BB$1200,"Unknown")</f>
        <v>0</v>
      </c>
      <c r="F3" s="91">
        <f>SUM(COUNTIFS('SERVICE ENTRY'!$AJ$4:$AJ$1200,{"Diagnostic mammogram","Breast ultrasound","Biopsy","Breast MRI","Genomic testing to guide treatment"},'SERVICE ENTRY'!$C$4:$C$1200,'County Report'!A3))+SUM(COUNTIFS('SERVICE ENTRY'!$AK$4:$AK$1200,{"Diagnostic mammogram","Breast ultrasound","Biopsy","Breast MRI","Genomic testing to guide treatment"},'SERVICE ENTRY'!$C$4:$C$1200,'County Report'!A3))</f>
        <v>0</v>
      </c>
      <c r="G3" s="239">
        <f>SUM(COUNTIFS('SERVICE ENTRY'!$C$4:$C$1200,'County Report'!A3,'SERVICE ENTRY'!$BE$4:$BE$1200,{"0-30 days","31-60 days","61-90 days","More than 90 days","Unknown"}))</f>
        <v>0</v>
      </c>
      <c r="H3" s="91">
        <f>SUM(COUNTIFS('SERVICE ENTRY'!$AP$4:$AP$1200,{"Chemotherapy","Radiation therapy","Surgery","Hormone therapy","Targeted Therapy"},'SERVICE ENTRY'!$C$4:$C$1200,'County Report'!A3))+SUM(COUNTIFS('SERVICE ENTRY'!$AQ$4:$AQ$1200,{"Chemotherapy","Radiation therapy","Surgery","Hormone therapy","Targeted Therapy"},'SERVICE ENTRY'!$C$4:$C$1200,'County Report'!A3))+SUM(COUNTIFS('SERVICE ENTRY'!$AR$4:$AR$1200,{"Chemotherapy","Radiation therapy","Surgery","Hormone therapy","Targeted Therapy"},'SERVICE ENTRY'!$C$4:$C$1200,'County Report'!A3))</f>
        <v>0</v>
      </c>
      <c r="I3" s="91">
        <f>SUM(COUNTIFS('SERVICE ENTRY'!$C$4:$C$1200,'County Report'!A3,'SERVICE ENTRY'!$BH$4:$BH$1200,{"0-30 days","31-60 days","61-90 days","More than 90 days","Unknown"}))</f>
        <v>0</v>
      </c>
      <c r="J3"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f>
        <v>0</v>
      </c>
      <c r="K3" s="91">
        <f>SUM(COUNTIFS('SERVICE ENTRY'!$AW$4:$AW$1200,{"Transportation","Interpretation/translation services","Co-pay/deductible assistance","Daily living expenses","Childcare"},'SERVICE ENTRY'!$C$4:$C$1200,'County Report'!A3))+SUM(COUNTIFS('SERVICE ENTRY'!$AX$4:$AX$1200,{"Transportation","Interpretation/translation services","Co-pay/deductible assistance","Daily living expenses","Childcare"},'SERVICE ENTRY'!$C$4:$C$1200,'County Report'!A3))+SUM(COUNTIFS('SERVICE ENTRY'!$AY$4:$AY$1200,{"Transportation","Interpretation/translation services","Co-pay/deductible assistance","Daily living expenses","Childcare"},'SERVICE ENTRY'!$C$4:$C$1200,'County Report'!A3))+SUM(COUNTIFS('SERVICE ENTRY'!$AZ$4:$AZ$1200,{"Transportation","Interpretation/translation services","Co-pay/deductible assistance","Daily living expenses","Childcare"},'SERVICE ENTRY'!$C$4:$C$1200,'County Report'!A3))+SUM(COUNTIFS('SERVICE ENTRY'!$BA$4:$BA$1200,{"Transportation","Interpretation/translation services","Co-pay/deductible assistance","Daily living expenses","Childcare"},'SERVICE ENTRY'!$C$4:$C$1200,'County Report'!A3))</f>
        <v>0</v>
      </c>
      <c r="L3" s="357"/>
      <c r="M3" s="357"/>
    </row>
    <row r="4" spans="1:22" x14ac:dyDescent="0.25">
      <c r="A4" s="167" t="s">
        <v>625</v>
      </c>
      <c r="B4" s="91">
        <f>COUNTIF('SERVICE ENTRY'!$C$4:$C$1200,'County Report'!A4)</f>
        <v>0</v>
      </c>
      <c r="C4" s="124">
        <f>SUMIF('SERVICE ENTRY'!$C$4:$C$1200,'County Report'!A4,'SERVICE ENTRY'!$N$4:$N$1200)</f>
        <v>0</v>
      </c>
      <c r="D4" s="91">
        <f>SUM(COUNTIFS('SERVICE ENTRY'!$C$4:$C$1200,'County Report'!A4,'SERVICE ENTRY'!$AC$4:$AC$1200,{"Mammogram","Clinical breast exam","Genetic testing/counseling"}),COUNTIFS('SERVICE ENTRY'!$C$4:$C$1200,'County Report'!A4,'SERVICE ENTRY'!$AD$4:$AD$1200,{"Mammogram","Clinical breast exam","Genetic testing/counseling"}))</f>
        <v>0</v>
      </c>
      <c r="E4" s="91">
        <f>COUNTIFS('SERVICE ENTRY'!$C$4:$C$1200,'County Report'!A4,'SERVICE ENTRY'!$BB$4:$BB$1200,"0-30 days")+COUNTIFS('SERVICE ENTRY'!$C$4:$C$1200,'County Report'!A4,'SERVICE ENTRY'!$BB$4:$BB$1200,"31-60 days")+COUNTIFS('SERVICE ENTRY'!$C$4:$C$1200,'County Report'!A4,'SERVICE ENTRY'!$BB$4:$BB$1200,"61-90 days")++COUNTIFS('SERVICE ENTRY'!$C$4:$C$1200,'County Report'!A4,'SERVICE ENTRY'!$BB$4:$BB$1200,"More than 90 days")+COUNTIFS('SERVICE ENTRY'!$C$4:$C$1200,'County Report'!A4,'SERVICE ENTRY'!$BB$4:$BB$1200,"Unknown")</f>
        <v>0</v>
      </c>
      <c r="F4" s="91">
        <f>SUM(COUNTIFS('SERVICE ENTRY'!$AJ$4:$AJ$1200,{"Diagnostic mammogram","Breast ultrasound","Biopsy","Breast MRI","Genomic testing to guide treatment"},'SERVICE ENTRY'!$C$4:$C$1200,'County Report'!A4))+SUM(COUNTIFS('SERVICE ENTRY'!$AK$4:$AK$1200,{"Diagnostic mammogram","Breast ultrasound","Biopsy","Breast MRI","Genomic testing to guide treatment"},'SERVICE ENTRY'!$C$4:$C$1200,'County Report'!A4))</f>
        <v>0</v>
      </c>
      <c r="G4" s="239">
        <f>SUM(COUNTIFS('SERVICE ENTRY'!$C$4:$C$1200,'County Report'!A4,'SERVICE ENTRY'!$BE$4:$BE$1200,{"0-30 days","31-60 days","61-90 days","More than 90 days","Unknown"}))</f>
        <v>0</v>
      </c>
      <c r="H4" s="91">
        <f>SUM(COUNTIFS('SERVICE ENTRY'!$AP$4:$AP$1200,{"Chemotherapy","Radiation therapy","Surgery","Hormone therapy","Targeted Therapy"},'SERVICE ENTRY'!$C$4:$C$1200,'County Report'!A4))+SUM(COUNTIFS('SERVICE ENTRY'!$AQ$4:$AQ$1200,{"Chemotherapy","Radiation therapy","Surgery","Hormone therapy","Targeted Therapy"},'SERVICE ENTRY'!$C$4:$C$1200,'County Report'!A4))+SUM(COUNTIFS('SERVICE ENTRY'!$AR$4:$AR$1200,{"Chemotherapy","Radiation therapy","Surgery","Hormone therapy","Targeted Therapy"},'SERVICE ENTRY'!$C$4:$C$1200,'County Report'!A4))</f>
        <v>0</v>
      </c>
      <c r="I4" s="91">
        <f>SUM(COUNTIFS('SERVICE ENTRY'!$C$4:$C$1200,'County Report'!A4,'SERVICE ENTRY'!$BH$4:$BH$1200,{"0-30 days","31-60 days","61-90 days","More than 90 days","Unknown"}))</f>
        <v>0</v>
      </c>
      <c r="J4"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f>
        <v>0</v>
      </c>
      <c r="K4" s="91">
        <f>SUM(COUNTIFS('SERVICE ENTRY'!$AW$4:$AW$1200,{"Transportation","Interpretation/translation services","Co-pay/deductible assistance","Daily living expenses","Childcare"},'SERVICE ENTRY'!$C$4:$C$1200,'County Report'!A4))+SUM(COUNTIFS('SERVICE ENTRY'!$AX$4:$AX$1200,{"Transportation","Interpretation/translation services","Co-pay/deductible assistance","Daily living expenses","Childcare"},'SERVICE ENTRY'!$C$4:$C$1200,'County Report'!A4))+SUM(COUNTIFS('SERVICE ENTRY'!$AY$4:$AY$1200,{"Transportation","Interpretation/translation services","Co-pay/deductible assistance","Daily living expenses","Childcare"},'SERVICE ENTRY'!$C$4:$C$1200,'County Report'!A4))+SUM(COUNTIFS('SERVICE ENTRY'!$AZ$4:$AZ$1200,{"Transportation","Interpretation/translation services","Co-pay/deductible assistance","Daily living expenses","Childcare"},'SERVICE ENTRY'!$C$4:$C$1200,'County Report'!A4))+SUM(COUNTIFS('SERVICE ENTRY'!$BA$4:$BA$1200,{"Transportation","Interpretation/translation services","Co-pay/deductible assistance","Daily living expenses","Childcare"},'SERVICE ENTRY'!$C$4:$C$1200,'County Report'!A4))</f>
        <v>0</v>
      </c>
      <c r="L4" s="357"/>
      <c r="M4" s="357"/>
    </row>
    <row r="5" spans="1:22" x14ac:dyDescent="0.25">
      <c r="A5" s="167" t="s">
        <v>626</v>
      </c>
      <c r="B5" s="91">
        <f>COUNTIF('SERVICE ENTRY'!$C$4:$C$1200,'County Report'!A5)</f>
        <v>0</v>
      </c>
      <c r="C5" s="124">
        <f>SUMIF('SERVICE ENTRY'!$C$4:$C$1200,'County Report'!A5,'SERVICE ENTRY'!$N$4:$N$1200)</f>
        <v>0</v>
      </c>
      <c r="D5" s="91">
        <f>SUM(COUNTIFS('SERVICE ENTRY'!$C$4:$C$1200,'County Report'!A5,'SERVICE ENTRY'!$AC$4:$AC$1200,{"Mammogram","Clinical breast exam","Genetic testing/counseling"}),COUNTIFS('SERVICE ENTRY'!$C$4:$C$1200,'County Report'!A5,'SERVICE ENTRY'!$AD$4:$AD$1200,{"Mammogram","Clinical breast exam","Genetic testing/counseling"}))</f>
        <v>0</v>
      </c>
      <c r="E5" s="91">
        <f>COUNTIFS('SERVICE ENTRY'!$C$4:$C$1200,'County Report'!A5,'SERVICE ENTRY'!$BB$4:$BB$1200,"0-30 days")+COUNTIFS('SERVICE ENTRY'!$C$4:$C$1200,'County Report'!A5,'SERVICE ENTRY'!$BB$4:$BB$1200,"31-60 days")+COUNTIFS('SERVICE ENTRY'!$C$4:$C$1200,'County Report'!A5,'SERVICE ENTRY'!$BB$4:$BB$1200,"61-90 days")++COUNTIFS('SERVICE ENTRY'!$C$4:$C$1200,'County Report'!A5,'SERVICE ENTRY'!$BB$4:$BB$1200,"More than 90 days")+COUNTIFS('SERVICE ENTRY'!$C$4:$C$1200,'County Report'!A5,'SERVICE ENTRY'!$BB$4:$BB$1200,"Unknown")</f>
        <v>0</v>
      </c>
      <c r="F5" s="91">
        <f>SUM(COUNTIFS('SERVICE ENTRY'!$AJ$4:$AJ$1200,{"Diagnostic mammogram","Breast ultrasound","Biopsy","Breast MRI","Genomic testing to guide treatment"},'SERVICE ENTRY'!$C$4:$C$1200,'County Report'!A5))+SUM(COUNTIFS('SERVICE ENTRY'!$AK$4:$AK$1200,{"Diagnostic mammogram","Breast ultrasound","Biopsy","Breast MRI","Genomic testing to guide treatment"},'SERVICE ENTRY'!$C$4:$C$1200,'County Report'!A5))</f>
        <v>0</v>
      </c>
      <c r="G5" s="239">
        <f>SUM(COUNTIFS('SERVICE ENTRY'!$C$4:$C$1200,'County Report'!A5,'SERVICE ENTRY'!$BE$4:$BE$1200,{"0-30 days","31-60 days","61-90 days","More than 90 days","Unknown"}))</f>
        <v>0</v>
      </c>
      <c r="H5" s="91">
        <f>SUM(COUNTIFS('SERVICE ENTRY'!$AP$4:$AP$1200,{"Chemotherapy","Radiation therapy","Surgery","Hormone therapy","Targeted Therapy"},'SERVICE ENTRY'!$C$4:$C$1200,'County Report'!A5))+SUM(COUNTIFS('SERVICE ENTRY'!$AQ$4:$AQ$1200,{"Chemotherapy","Radiation therapy","Surgery","Hormone therapy","Targeted Therapy"},'SERVICE ENTRY'!$C$4:$C$1200,'County Report'!A5))+SUM(COUNTIFS('SERVICE ENTRY'!$AR$4:$AR$1200,{"Chemotherapy","Radiation therapy","Surgery","Hormone therapy","Targeted Therapy"},'SERVICE ENTRY'!$C$4:$C$1200,'County Report'!A5))</f>
        <v>0</v>
      </c>
      <c r="I5" s="91">
        <f>SUM(COUNTIFS('SERVICE ENTRY'!$C$4:$C$1200,'County Report'!A5,'SERVICE ENTRY'!$BH$4:$BH$1200,{"0-30 days","31-60 days","61-90 days","More than 90 days","Unknown"}))</f>
        <v>0</v>
      </c>
      <c r="J5"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f>
        <v>0</v>
      </c>
      <c r="K5" s="91">
        <f>SUM(COUNTIFS('SERVICE ENTRY'!$AW$4:$AW$1200,{"Transportation","Interpretation/translation services","Co-pay/deductible assistance","Daily living expenses","Childcare"},'SERVICE ENTRY'!$C$4:$C$1200,'County Report'!A5))+SUM(COUNTIFS('SERVICE ENTRY'!$AX$4:$AX$1200,{"Transportation","Interpretation/translation services","Co-pay/deductible assistance","Daily living expenses","Childcare"},'SERVICE ENTRY'!$C$4:$C$1200,'County Report'!A5))+SUM(COUNTIFS('SERVICE ENTRY'!$AY$4:$AY$1200,{"Transportation","Interpretation/translation services","Co-pay/deductible assistance","Daily living expenses","Childcare"},'SERVICE ENTRY'!$C$4:$C$1200,'County Report'!A5))+SUM(COUNTIFS('SERVICE ENTRY'!$AZ$4:$AZ$1200,{"Transportation","Interpretation/translation services","Co-pay/deductible assistance","Daily living expenses","Childcare"},'SERVICE ENTRY'!$C$4:$C$1200,'County Report'!A5))+SUM(COUNTIFS('SERVICE ENTRY'!$BA$4:$BA$1200,{"Transportation","Interpretation/translation services","Co-pay/deductible assistance","Daily living expenses","Childcare"},'SERVICE ENTRY'!$C$4:$C$1200,'County Report'!A5))</f>
        <v>0</v>
      </c>
      <c r="L5" s="357"/>
      <c r="M5" s="357"/>
    </row>
    <row r="6" spans="1:22" x14ac:dyDescent="0.25">
      <c r="A6" s="167" t="s">
        <v>627</v>
      </c>
      <c r="B6" s="91">
        <f>COUNTIF('SERVICE ENTRY'!$C$4:$C$1200,'County Report'!A6)</f>
        <v>0</v>
      </c>
      <c r="C6" s="124">
        <f>SUMIF('SERVICE ENTRY'!$C$4:$C$1200,'County Report'!A6,'SERVICE ENTRY'!$N$4:$N$1200)</f>
        <v>0</v>
      </c>
      <c r="D6" s="91">
        <f>SUM(COUNTIFS('SERVICE ENTRY'!$C$4:$C$1200,'County Report'!A6,'SERVICE ENTRY'!$AC$4:$AC$1200,{"Mammogram","Clinical breast exam","Genetic testing/counseling"}),COUNTIFS('SERVICE ENTRY'!$C$4:$C$1200,'County Report'!A6,'SERVICE ENTRY'!$AD$4:$AD$1200,{"Mammogram","Clinical breast exam","Genetic testing/counseling"}))</f>
        <v>0</v>
      </c>
      <c r="E6" s="91">
        <f>COUNTIFS('SERVICE ENTRY'!$C$4:$C$1200,'County Report'!A6,'SERVICE ENTRY'!$BB$4:$BB$1200,"0-30 days")+COUNTIFS('SERVICE ENTRY'!$C$4:$C$1200,'County Report'!A6,'SERVICE ENTRY'!$BB$4:$BB$1200,"31-60 days")+COUNTIFS('SERVICE ENTRY'!$C$4:$C$1200,'County Report'!A6,'SERVICE ENTRY'!$BB$4:$BB$1200,"61-90 days")++COUNTIFS('SERVICE ENTRY'!$C$4:$C$1200,'County Report'!A6,'SERVICE ENTRY'!$BB$4:$BB$1200,"More than 90 days")+COUNTIFS('SERVICE ENTRY'!$C$4:$C$1200,'County Report'!A6,'SERVICE ENTRY'!$BB$4:$BB$1200,"Unknown")</f>
        <v>0</v>
      </c>
      <c r="F6" s="91">
        <f>SUM(COUNTIFS('SERVICE ENTRY'!$AJ$4:$AJ$1200,{"Diagnostic mammogram","Breast ultrasound","Biopsy","Breast MRI","Genomic testing to guide treatment"},'SERVICE ENTRY'!$C$4:$C$1200,'County Report'!A6))+SUM(COUNTIFS('SERVICE ENTRY'!$AK$4:$AK$1200,{"Diagnostic mammogram","Breast ultrasound","Biopsy","Breast MRI","Genomic testing to guide treatment"},'SERVICE ENTRY'!$C$4:$C$1200,'County Report'!A6))</f>
        <v>0</v>
      </c>
      <c r="G6" s="239">
        <f>SUM(COUNTIFS('SERVICE ENTRY'!$C$4:$C$1200,'County Report'!A6,'SERVICE ENTRY'!$BE$4:$BE$1200,{"0-30 days","31-60 days","61-90 days","More than 90 days","Unknown"}))</f>
        <v>0</v>
      </c>
      <c r="H6" s="91">
        <f>SUM(COUNTIFS('SERVICE ENTRY'!$AP$4:$AP$1200,{"Chemotherapy","Radiation therapy","Surgery","Hormone therapy","Targeted Therapy"},'SERVICE ENTRY'!$C$4:$C$1200,'County Report'!A6))+SUM(COUNTIFS('SERVICE ENTRY'!$AQ$4:$AQ$1200,{"Chemotherapy","Radiation therapy","Surgery","Hormone therapy","Targeted Therapy"},'SERVICE ENTRY'!$C$4:$C$1200,'County Report'!A6))+SUM(COUNTIFS('SERVICE ENTRY'!$AR$4:$AR$1200,{"Chemotherapy","Radiation therapy","Surgery","Hormone therapy","Targeted Therapy"},'SERVICE ENTRY'!$C$4:$C$1200,'County Report'!A6))</f>
        <v>0</v>
      </c>
      <c r="I6" s="91">
        <f>SUM(COUNTIFS('SERVICE ENTRY'!$C$4:$C$1200,'County Report'!A6,'SERVICE ENTRY'!$BH$4:$BH$1200,{"0-30 days","31-60 days","61-90 days","More than 90 days","Unknown"}))</f>
        <v>0</v>
      </c>
      <c r="J6"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Report'!A6))+SUM(COUNTIFS('SERVICE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Report'!A6))+SUM(COUNTIFS('SERVICE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Report'!A6))</f>
        <v>0</v>
      </c>
      <c r="K6" s="91">
        <f>SUM(COUNTIFS('SERVICE ENTRY'!$AW$4:$AW$1200,{"Transportation","Interpretation/translation services","Co-pay/deductible assistance","Daily living expenses","Childcare"},'SERVICE ENTRY'!$C$4:$C$1200,'County Report'!A6))+SUM(COUNTIFS('SERVICE ENTRY'!$AX$4:$AX$1200,{"Transportation","Interpretation/translation services","Co-pay/deductible assistance","Daily living expenses","Childcare"},'SERVICE ENTRY'!$C$4:$C$1200,'County Report'!A6))+SUM(COUNTIFS('SERVICE ENTRY'!$AY$4:$AY$1200,{"Transportation","Interpretation/translation services","Co-pay/deductible assistance","Daily living expenses","Childcare"},'SERVICE ENTRY'!$C$4:$C$1200,'County Report'!A6))+SUM(COUNTIFS('SERVICE ENTRY'!$AZ$4:$AZ$1200,{"Transportation","Interpretation/translation services","Co-pay/deductible assistance","Daily living expenses","Childcare"},'SERVICE ENTRY'!$C$4:$C$1200,'County Report'!A6))+SUM(COUNTIFS('SERVICE ENTRY'!$BA$4:$BA$1200,{"Transportation","Interpretation/translation services","Co-pay/deductible assistance","Daily living expenses","Childcare"},'SERVICE ENTRY'!$C$4:$C$1200,'County Report'!A6))</f>
        <v>0</v>
      </c>
      <c r="L6" s="357"/>
      <c r="M6" s="357"/>
    </row>
    <row r="7" spans="1:22" x14ac:dyDescent="0.25">
      <c r="A7" s="167" t="s">
        <v>628</v>
      </c>
      <c r="B7" s="91">
        <f>COUNTIF('SERVICE ENTRY'!$C$4:$C$1200,'County Report'!A7)</f>
        <v>0</v>
      </c>
      <c r="C7" s="124">
        <f>SUMIF('SERVICE ENTRY'!$C$4:$C$1200,'County Report'!A7,'SERVICE ENTRY'!$N$4:$N$1200)</f>
        <v>0</v>
      </c>
      <c r="D7" s="91">
        <f>SUM(COUNTIFS('SERVICE ENTRY'!$C$4:$C$1200,'County Report'!A7,'SERVICE ENTRY'!$AC$4:$AC$1200,{"Mammogram","Clinical breast exam","Genetic testing/counseling"}),COUNTIFS('SERVICE ENTRY'!$C$4:$C$1200,'County Report'!A7,'SERVICE ENTRY'!$AD$4:$AD$1200,{"Mammogram","Clinical breast exam","Genetic testing/counseling"}))</f>
        <v>0</v>
      </c>
      <c r="E7" s="91">
        <f>COUNTIFS('SERVICE ENTRY'!$C$4:$C$1200,'County Report'!A7,'SERVICE ENTRY'!$BB$4:$BB$1200,"0-30 days")+COUNTIFS('SERVICE ENTRY'!$C$4:$C$1200,'County Report'!A7,'SERVICE ENTRY'!$BB$4:$BB$1200,"31-60 days")+COUNTIFS('SERVICE ENTRY'!$C$4:$C$1200,'County Report'!A7,'SERVICE ENTRY'!$BB$4:$BB$1200,"61-90 days")++COUNTIFS('SERVICE ENTRY'!$C$4:$C$1200,'County Report'!A7,'SERVICE ENTRY'!$BB$4:$BB$1200,"More than 90 days")+COUNTIFS('SERVICE ENTRY'!$C$4:$C$1200,'County Report'!A7,'SERVICE ENTRY'!$BB$4:$BB$1200,"Unknown")</f>
        <v>0</v>
      </c>
      <c r="F7" s="91">
        <f>SUM(COUNTIFS('SERVICE ENTRY'!$AJ$4:$AJ$1200,{"Diagnostic mammogram","Breast ultrasound","Biopsy","Breast MRI","Genomic testing to guide treatment"},'SERVICE ENTRY'!$C$4:$C$1200,'County Report'!A7))+SUM(COUNTIFS('SERVICE ENTRY'!$AK$4:$AK$1200,{"Diagnostic mammogram","Breast ultrasound","Biopsy","Breast MRI","Genomic testing to guide treatment"},'SERVICE ENTRY'!$C$4:$C$1200,'County Report'!A7))</f>
        <v>0</v>
      </c>
      <c r="G7" s="239">
        <f>SUM(COUNTIFS('SERVICE ENTRY'!$C$4:$C$1200,'County Report'!A7,'SERVICE ENTRY'!$BE$4:$BE$1200,{"0-30 days","31-60 days","61-90 days","More than 90 days","Unknown"}))</f>
        <v>0</v>
      </c>
      <c r="H7" s="91">
        <f>SUM(COUNTIFS('SERVICE ENTRY'!$AP$4:$AP$1200,{"Chemotherapy","Radiation therapy","Surgery","Hormone therapy","Targeted Therapy"},'SERVICE ENTRY'!$C$4:$C$1200,'County Report'!A7))+SUM(COUNTIFS('SERVICE ENTRY'!$AQ$4:$AQ$1200,{"Chemotherapy","Radiation therapy","Surgery","Hormone therapy","Targeted Therapy"},'SERVICE ENTRY'!$C$4:$C$1200,'County Report'!A7))+SUM(COUNTIFS('SERVICE ENTRY'!$AR$4:$AR$1200,{"Chemotherapy","Radiation therapy","Surgery","Hormone therapy","Targeted Therapy"},'SERVICE ENTRY'!$C$4:$C$1200,'County Report'!A7))</f>
        <v>0</v>
      </c>
      <c r="I7" s="91">
        <f>SUM(COUNTIFS('SERVICE ENTRY'!$C$4:$C$1200,'County Report'!A7,'SERVICE ENTRY'!$BH$4:$BH$1200,{"0-30 days","31-60 days","61-90 days","More than 90 days","Unknown"}))</f>
        <v>0</v>
      </c>
      <c r="J7"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Report'!A7))+SUM(COUNTIFS('SERVICE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Report'!A7))+SUM(COUNTIFS('SERVICE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Report'!A7))</f>
        <v>0</v>
      </c>
      <c r="K7" s="91">
        <f>SUM(COUNTIFS('SERVICE ENTRY'!$AW$4:$AW$1200,{"Transportation","Interpretation/translation services","Co-pay/deductible assistance","Daily living expenses","Childcare"},'SERVICE ENTRY'!$C$4:$C$1200,'County Report'!A7))+SUM(COUNTIFS('SERVICE ENTRY'!$AX$4:$AX$1200,{"Transportation","Interpretation/translation services","Co-pay/deductible assistance","Daily living expenses","Childcare"},'SERVICE ENTRY'!$C$4:$C$1200,'County Report'!A7))+SUM(COUNTIFS('SERVICE ENTRY'!$AY$4:$AY$1200,{"Transportation","Interpretation/translation services","Co-pay/deductible assistance","Daily living expenses","Childcare"},'SERVICE ENTRY'!$C$4:$C$1200,'County Report'!A7))+SUM(COUNTIFS('SERVICE ENTRY'!$AZ$4:$AZ$1200,{"Transportation","Interpretation/translation services","Co-pay/deductible assistance","Daily living expenses","Childcare"},'SERVICE ENTRY'!$C$4:$C$1200,'County Report'!A7))+SUM(COUNTIFS('SERVICE ENTRY'!$BA$4:$BA$1200,{"Transportation","Interpretation/translation services","Co-pay/deductible assistance","Daily living expenses","Childcare"},'SERVICE ENTRY'!$C$4:$C$1200,'County Report'!A7))</f>
        <v>0</v>
      </c>
      <c r="L7" s="357"/>
      <c r="M7" s="357"/>
    </row>
    <row r="8" spans="1:22" x14ac:dyDescent="0.25">
      <c r="A8" s="167" t="s">
        <v>629</v>
      </c>
      <c r="B8" s="91">
        <f>COUNTIF('SERVICE ENTRY'!$C$4:$C$1200,'County Report'!A8)</f>
        <v>0</v>
      </c>
      <c r="C8" s="124">
        <f>SUMIF('SERVICE ENTRY'!$C$4:$C$1200,'County Report'!A8,'SERVICE ENTRY'!$N$4:$N$1200)</f>
        <v>0</v>
      </c>
      <c r="D8" s="91">
        <f>SUM(COUNTIFS('SERVICE ENTRY'!$C$4:$C$1200,'County Report'!A8,'SERVICE ENTRY'!$AC$4:$AC$1200,{"Mammogram","Clinical breast exam","Genetic testing/counseling"}),COUNTIFS('SERVICE ENTRY'!$C$4:$C$1200,'County Report'!A8,'SERVICE ENTRY'!$AD$4:$AD$1200,{"Mammogram","Clinical breast exam","Genetic testing/counseling"}))</f>
        <v>0</v>
      </c>
      <c r="E8" s="91">
        <f>COUNTIFS('SERVICE ENTRY'!$C$4:$C$1200,'County Report'!A8,'SERVICE ENTRY'!$BB$4:$BB$1200,"0-30 days")+COUNTIFS('SERVICE ENTRY'!$C$4:$C$1200,'County Report'!A8,'SERVICE ENTRY'!$BB$4:$BB$1200,"31-60 days")+COUNTIFS('SERVICE ENTRY'!$C$4:$C$1200,'County Report'!A8,'SERVICE ENTRY'!$BB$4:$BB$1200,"61-90 days")++COUNTIFS('SERVICE ENTRY'!$C$4:$C$1200,'County Report'!A8,'SERVICE ENTRY'!$BB$4:$BB$1200,"More than 90 days")+COUNTIFS('SERVICE ENTRY'!$C$4:$C$1200,'County Report'!A8,'SERVICE ENTRY'!$BB$4:$BB$1200,"Unknown")</f>
        <v>0</v>
      </c>
      <c r="F8" s="91">
        <f>SUM(COUNTIFS('SERVICE ENTRY'!$AJ$4:$AJ$1200,{"Diagnostic mammogram","Breast ultrasound","Biopsy","Breast MRI","Genomic testing to guide treatment"},'SERVICE ENTRY'!$C$4:$C$1200,'County Report'!A8))+SUM(COUNTIFS('SERVICE ENTRY'!$AK$4:$AK$1200,{"Diagnostic mammogram","Breast ultrasound","Biopsy","Breast MRI","Genomic testing to guide treatment"},'SERVICE ENTRY'!$C$4:$C$1200,'County Report'!A8))</f>
        <v>0</v>
      </c>
      <c r="G8" s="239">
        <f>SUM(COUNTIFS('SERVICE ENTRY'!$C$4:$C$1200,'County Report'!A8,'SERVICE ENTRY'!$BE$4:$BE$1200,{"0-30 days","31-60 days","61-90 days","More than 90 days","Unknown"}))</f>
        <v>0</v>
      </c>
      <c r="H8" s="91">
        <f>SUM(COUNTIFS('SERVICE ENTRY'!$AP$4:$AP$1200,{"Chemotherapy","Radiation therapy","Surgery","Hormone therapy","Targeted Therapy"},'SERVICE ENTRY'!$C$4:$C$1200,'County Report'!A8))+SUM(COUNTIFS('SERVICE ENTRY'!$AQ$4:$AQ$1200,{"Chemotherapy","Radiation therapy","Surgery","Hormone therapy","Targeted Therapy"},'SERVICE ENTRY'!$C$4:$C$1200,'County Report'!A8))+SUM(COUNTIFS('SERVICE ENTRY'!$AR$4:$AR$1200,{"Chemotherapy","Radiation therapy","Surgery","Hormone therapy","Targeted Therapy"},'SERVICE ENTRY'!$C$4:$C$1200,'County Report'!A8))</f>
        <v>0</v>
      </c>
      <c r="I8" s="91">
        <f>SUM(COUNTIFS('SERVICE ENTRY'!$C$4:$C$1200,'County Report'!A8,'SERVICE ENTRY'!$BH$4:$BH$1200,{"0-30 days","31-60 days","61-90 days","More than 90 days","Unknown"}))</f>
        <v>0</v>
      </c>
      <c r="J8"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Report'!A8))+SUM(COUNTIFS('SERVICE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Report'!A8))+SUM(COUNTIFS('SERVICE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Report'!A8))</f>
        <v>0</v>
      </c>
      <c r="K8" s="91">
        <f>SUM(COUNTIFS('SERVICE ENTRY'!$AW$4:$AW$1200,{"Transportation","Interpretation/translation services","Co-pay/deductible assistance","Daily living expenses","Childcare"},'SERVICE ENTRY'!$C$4:$C$1200,'County Report'!A8))+SUM(COUNTIFS('SERVICE ENTRY'!$AX$4:$AX$1200,{"Transportation","Interpretation/translation services","Co-pay/deductible assistance","Daily living expenses","Childcare"},'SERVICE ENTRY'!$C$4:$C$1200,'County Report'!A8))+SUM(COUNTIFS('SERVICE ENTRY'!$AY$4:$AY$1200,{"Transportation","Interpretation/translation services","Co-pay/deductible assistance","Daily living expenses","Childcare"},'SERVICE ENTRY'!$C$4:$C$1200,'County Report'!A8))+SUM(COUNTIFS('SERVICE ENTRY'!$AZ$4:$AZ$1200,{"Transportation","Interpretation/translation services","Co-pay/deductible assistance","Daily living expenses","Childcare"},'SERVICE ENTRY'!$C$4:$C$1200,'County Report'!A8))+SUM(COUNTIFS('SERVICE ENTRY'!$BA$4:$BA$1200,{"Transportation","Interpretation/translation services","Co-pay/deductible assistance","Daily living expenses","Childcare"},'SERVICE ENTRY'!$C$4:$C$1200,'County Report'!A8))</f>
        <v>0</v>
      </c>
      <c r="L8" s="187"/>
    </row>
    <row r="9" spans="1:22" x14ac:dyDescent="0.25">
      <c r="A9" s="167" t="s">
        <v>630</v>
      </c>
      <c r="B9" s="91">
        <f>COUNTIF('SERVICE ENTRY'!$C$4:$C$1200,'County Report'!A9)</f>
        <v>0</v>
      </c>
      <c r="C9" s="124">
        <f>SUMIF('SERVICE ENTRY'!$C$4:$C$1200,'County Report'!A9,'SERVICE ENTRY'!$N$4:$N$1200)</f>
        <v>0</v>
      </c>
      <c r="D9" s="91">
        <f>SUM(COUNTIFS('SERVICE ENTRY'!$C$4:$C$1200,'County Report'!A9,'SERVICE ENTRY'!$AC$4:$AC$1200,{"Mammogram","Clinical breast exam","Genetic testing/counseling"}),COUNTIFS('SERVICE ENTRY'!$C$4:$C$1200,'County Report'!A9,'SERVICE ENTRY'!$AD$4:$AD$1200,{"Mammogram","Clinical breast exam","Genetic testing/counseling"}))</f>
        <v>0</v>
      </c>
      <c r="E9" s="91">
        <f>COUNTIFS('SERVICE ENTRY'!$C$4:$C$1200,'County Report'!A9,'SERVICE ENTRY'!$BB$4:$BB$1200,"0-30 days")+COUNTIFS('SERVICE ENTRY'!$C$4:$C$1200,'County Report'!A9,'SERVICE ENTRY'!$BB$4:$BB$1200,"31-60 days")+COUNTIFS('SERVICE ENTRY'!$C$4:$C$1200,'County Report'!A9,'SERVICE ENTRY'!$BB$4:$BB$1200,"61-90 days")++COUNTIFS('SERVICE ENTRY'!$C$4:$C$1200,'County Report'!A9,'SERVICE ENTRY'!$BB$4:$BB$1200,"More than 90 days")+COUNTIFS('SERVICE ENTRY'!$C$4:$C$1200,'County Report'!A9,'SERVICE ENTRY'!$BB$4:$BB$1200,"Unknown")</f>
        <v>0</v>
      </c>
      <c r="F9" s="91">
        <f>SUM(COUNTIFS('SERVICE ENTRY'!$AJ$4:$AJ$1200,{"Diagnostic mammogram","Breast ultrasound","Biopsy","Breast MRI","Genomic testing to guide treatment"},'SERVICE ENTRY'!$C$4:$C$1200,'County Report'!A9))+SUM(COUNTIFS('SERVICE ENTRY'!$AK$4:$AK$1200,{"Diagnostic mammogram","Breast ultrasound","Biopsy","Breast MRI","Genomic testing to guide treatment"},'SERVICE ENTRY'!$C$4:$C$1200,'County Report'!A9))</f>
        <v>0</v>
      </c>
      <c r="G9" s="239">
        <f>SUM(COUNTIFS('SERVICE ENTRY'!$C$4:$C$1200,'County Report'!A9,'SERVICE ENTRY'!$BE$4:$BE$1200,{"0-30 days","31-60 days","61-90 days","More than 90 days","Unknown"}))</f>
        <v>0</v>
      </c>
      <c r="H9" s="91">
        <f>SUM(COUNTIFS('SERVICE ENTRY'!$AP$4:$AP$1200,{"Chemotherapy","Radiation therapy","Surgery","Hormone therapy","Targeted Therapy"},'SERVICE ENTRY'!$C$4:$C$1200,'County Report'!A9))+SUM(COUNTIFS('SERVICE ENTRY'!$AQ$4:$AQ$1200,{"Chemotherapy","Radiation therapy","Surgery","Hormone therapy","Targeted Therapy"},'SERVICE ENTRY'!$C$4:$C$1200,'County Report'!A9))+SUM(COUNTIFS('SERVICE ENTRY'!$AR$4:$AR$1200,{"Chemotherapy","Radiation therapy","Surgery","Hormone therapy","Targeted Therapy"},'SERVICE ENTRY'!$C$4:$C$1200,'County Report'!A9))</f>
        <v>0</v>
      </c>
      <c r="I9" s="91">
        <f>SUM(COUNTIFS('SERVICE ENTRY'!$C$4:$C$1200,'County Report'!A9,'SERVICE ENTRY'!$BH$4:$BH$1200,{"0-30 days","31-60 days","61-90 days","More than 90 days","Unknown"}))</f>
        <v>0</v>
      </c>
      <c r="J9"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Report'!A9))+SUM(COUNTIFS('SERVICE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Report'!A9))+SUM(COUNTIFS('SERVICE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Report'!A9))</f>
        <v>0</v>
      </c>
      <c r="K9" s="91">
        <f>SUM(COUNTIFS('SERVICE ENTRY'!$AW$4:$AW$1200,{"Transportation","Interpretation/translation services","Co-pay/deductible assistance","Daily living expenses","Childcare"},'SERVICE ENTRY'!$C$4:$C$1200,'County Report'!A9))+SUM(COUNTIFS('SERVICE ENTRY'!$AX$4:$AX$1200,{"Transportation","Interpretation/translation services","Co-pay/deductible assistance","Daily living expenses","Childcare"},'SERVICE ENTRY'!$C$4:$C$1200,'County Report'!A9))+SUM(COUNTIFS('SERVICE ENTRY'!$AY$4:$AY$1200,{"Transportation","Interpretation/translation services","Co-pay/deductible assistance","Daily living expenses","Childcare"},'SERVICE ENTRY'!$C$4:$C$1200,'County Report'!A9))+SUM(COUNTIFS('SERVICE ENTRY'!$AZ$4:$AZ$1200,{"Transportation","Interpretation/translation services","Co-pay/deductible assistance","Daily living expenses","Childcare"},'SERVICE ENTRY'!$C$4:$C$1200,'County Report'!A9))+SUM(COUNTIFS('SERVICE ENTRY'!$BA$4:$BA$1200,{"Transportation","Interpretation/translation services","Co-pay/deductible assistance","Daily living expenses","Childcare"},'SERVICE ENTRY'!$C$4:$C$1200,'County Report'!A9))</f>
        <v>0</v>
      </c>
      <c r="L9" s="187"/>
    </row>
    <row r="10" spans="1:22" x14ac:dyDescent="0.25">
      <c r="A10" s="167" t="s">
        <v>631</v>
      </c>
      <c r="B10" s="91">
        <f>COUNTIF('SERVICE ENTRY'!$C$4:$C$1200,'County Report'!A10)</f>
        <v>0</v>
      </c>
      <c r="C10" s="124">
        <f>SUMIF('SERVICE ENTRY'!$C$4:$C$1200,'County Report'!A10,'SERVICE ENTRY'!$N$4:$N$1200)</f>
        <v>0</v>
      </c>
      <c r="D10" s="91">
        <f>SUM(COUNTIFS('SERVICE ENTRY'!$C$4:$C$1200,'County Report'!A10,'SERVICE ENTRY'!$AC$4:$AC$1200,{"Mammogram","Clinical breast exam","Genetic testing/counseling"}),COUNTIFS('SERVICE ENTRY'!$C$4:$C$1200,'County Report'!A10,'SERVICE ENTRY'!$AD$4:$AD$1200,{"Mammogram","Clinical breast exam","Genetic testing/counseling"}))</f>
        <v>0</v>
      </c>
      <c r="E10" s="91">
        <f>COUNTIFS('SERVICE ENTRY'!$C$4:$C$1200,'County Report'!A10,'SERVICE ENTRY'!$BB$4:$BB$1200,"0-30 days")+COUNTIFS('SERVICE ENTRY'!$C$4:$C$1200,'County Report'!A10,'SERVICE ENTRY'!$BB$4:$BB$1200,"31-60 days")+COUNTIFS('SERVICE ENTRY'!$C$4:$C$1200,'County Report'!A10,'SERVICE ENTRY'!$BB$4:$BB$1200,"61-90 days")++COUNTIFS('SERVICE ENTRY'!$C$4:$C$1200,'County Report'!A10,'SERVICE ENTRY'!$BB$4:$BB$1200,"More than 90 days")+COUNTIFS('SERVICE ENTRY'!$C$4:$C$1200,'County Report'!A10,'SERVICE ENTRY'!$BB$4:$BB$1200,"Unknown")</f>
        <v>0</v>
      </c>
      <c r="F10" s="91">
        <f>SUM(COUNTIFS('SERVICE ENTRY'!$AJ$4:$AJ$1200,{"Diagnostic mammogram","Breast ultrasound","Biopsy","Breast MRI","Genomic testing to guide treatment"},'SERVICE ENTRY'!$C$4:$C$1200,'County Report'!A10))+SUM(COUNTIFS('SERVICE ENTRY'!$AK$4:$AK$1200,{"Diagnostic mammogram","Breast ultrasound","Biopsy","Breast MRI","Genomic testing to guide treatment"},'SERVICE ENTRY'!$C$4:$C$1200,'County Report'!A10))</f>
        <v>0</v>
      </c>
      <c r="G10" s="239">
        <f>SUM(COUNTIFS('SERVICE ENTRY'!$C$4:$C$1200,'County Report'!A10,'SERVICE ENTRY'!$BE$4:$BE$1200,{"0-30 days","31-60 days","61-90 days","More than 90 days","Unknown"}))</f>
        <v>0</v>
      </c>
      <c r="H10" s="91">
        <f>SUM(COUNTIFS('SERVICE ENTRY'!$AP$4:$AP$1200,{"Chemotherapy","Radiation therapy","Surgery","Hormone therapy","Targeted Therapy"},'SERVICE ENTRY'!$C$4:$C$1200,'County Report'!A10))+SUM(COUNTIFS('SERVICE ENTRY'!$AQ$4:$AQ$1200,{"Chemotherapy","Radiation therapy","Surgery","Hormone therapy","Targeted Therapy"},'SERVICE ENTRY'!$C$4:$C$1200,'County Report'!A10))+SUM(COUNTIFS('SERVICE ENTRY'!$AR$4:$AR$1200,{"Chemotherapy","Radiation therapy","Surgery","Hormone therapy","Targeted Therapy"},'SERVICE ENTRY'!$C$4:$C$1200,'County Report'!A10))</f>
        <v>0</v>
      </c>
      <c r="I10" s="91">
        <f>SUM(COUNTIFS('SERVICE ENTRY'!$C$4:$C$1200,'County Report'!A10,'SERVICE ENTRY'!$BH$4:$BH$1200,{"0-30 days","31-60 days","61-90 days","More than 90 days","Unknown"}))</f>
        <v>0</v>
      </c>
      <c r="J10"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Report'!A10))+SUM(COUNTIFS('SERVICE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Report'!A10))+SUM(COUNTIFS('SERVICE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Report'!A10))</f>
        <v>0</v>
      </c>
      <c r="K10" s="91">
        <f>SUM(COUNTIFS('SERVICE ENTRY'!$AW$4:$AW$1200,{"Transportation","Interpretation/translation services","Co-pay/deductible assistance","Daily living expenses","Childcare"},'SERVICE ENTRY'!$C$4:$C$1200,'County Report'!A10))+SUM(COUNTIFS('SERVICE ENTRY'!$AX$4:$AX$1200,{"Transportation","Interpretation/translation services","Co-pay/deductible assistance","Daily living expenses","Childcare"},'SERVICE ENTRY'!$C$4:$C$1200,'County Report'!A10))+SUM(COUNTIFS('SERVICE ENTRY'!$AY$4:$AY$1200,{"Transportation","Interpretation/translation services","Co-pay/deductible assistance","Daily living expenses","Childcare"},'SERVICE ENTRY'!$C$4:$C$1200,'County Report'!A10))+SUM(COUNTIFS('SERVICE ENTRY'!$AZ$4:$AZ$1200,{"Transportation","Interpretation/translation services","Co-pay/deductible assistance","Daily living expenses","Childcare"},'SERVICE ENTRY'!$C$4:$C$1200,'County Report'!A10))+SUM(COUNTIFS('SERVICE ENTRY'!$BA$4:$BA$1200,{"Transportation","Interpretation/translation services","Co-pay/deductible assistance","Daily living expenses","Childcare"},'SERVICE ENTRY'!$C$4:$C$1200,'County Report'!A10))</f>
        <v>0</v>
      </c>
      <c r="L10" s="187"/>
    </row>
    <row r="11" spans="1:22" x14ac:dyDescent="0.25">
      <c r="A11" s="167" t="s">
        <v>632</v>
      </c>
      <c r="B11" s="91">
        <f>COUNTIF('SERVICE ENTRY'!$C$4:$C$1200,'County Report'!A11)</f>
        <v>0</v>
      </c>
      <c r="C11" s="124">
        <f>SUMIF('SERVICE ENTRY'!$C$4:$C$1200,'County Report'!A11,'SERVICE ENTRY'!$N$4:$N$1200)</f>
        <v>0</v>
      </c>
      <c r="D11" s="91">
        <f>SUM(COUNTIFS('SERVICE ENTRY'!$C$4:$C$1200,'County Report'!A11,'SERVICE ENTRY'!$AC$4:$AC$1200,{"Mammogram","Clinical breast exam","Genetic testing/counseling"}),COUNTIFS('SERVICE ENTRY'!$C$4:$C$1200,'County Report'!A11,'SERVICE ENTRY'!$AD$4:$AD$1200,{"Mammogram","Clinical breast exam","Genetic testing/counseling"}))</f>
        <v>0</v>
      </c>
      <c r="E11" s="91">
        <f>COUNTIFS('SERVICE ENTRY'!$C$4:$C$1200,'County Report'!A11,'SERVICE ENTRY'!$BB$4:$BB$1200,"0-30 days")+COUNTIFS('SERVICE ENTRY'!$C$4:$C$1200,'County Report'!A11,'SERVICE ENTRY'!$BB$4:$BB$1200,"31-60 days")+COUNTIFS('SERVICE ENTRY'!$C$4:$C$1200,'County Report'!A11,'SERVICE ENTRY'!$BB$4:$BB$1200,"61-90 days")++COUNTIFS('SERVICE ENTRY'!$C$4:$C$1200,'County Report'!A11,'SERVICE ENTRY'!$BB$4:$BB$1200,"More than 90 days")+COUNTIFS('SERVICE ENTRY'!$C$4:$C$1200,'County Report'!A11,'SERVICE ENTRY'!$BB$4:$BB$1200,"Unknown")</f>
        <v>0</v>
      </c>
      <c r="F11" s="91">
        <f>SUM(COUNTIFS('SERVICE ENTRY'!$AJ$4:$AJ$1200,{"Diagnostic mammogram","Breast ultrasound","Biopsy","Breast MRI","Genomic testing to guide treatment"},'SERVICE ENTRY'!$C$4:$C$1200,'County Report'!A11))+SUM(COUNTIFS('SERVICE ENTRY'!$AK$4:$AK$1200,{"Diagnostic mammogram","Breast ultrasound","Biopsy","Breast MRI","Genomic testing to guide treatment"},'SERVICE ENTRY'!$C$4:$C$1200,'County Report'!A11))</f>
        <v>0</v>
      </c>
      <c r="G11" s="239">
        <f>SUM(COUNTIFS('SERVICE ENTRY'!$C$4:$C$1200,'County Report'!A11,'SERVICE ENTRY'!$BE$4:$BE$1200,{"0-30 days","31-60 days","61-90 days","More than 90 days","Unknown"}))</f>
        <v>0</v>
      </c>
      <c r="H11" s="91">
        <f>SUM(COUNTIFS('SERVICE ENTRY'!$AP$4:$AP$1200,{"Chemotherapy","Radiation therapy","Surgery","Hormone therapy","Targeted Therapy"},'SERVICE ENTRY'!$C$4:$C$1200,'County Report'!A11))+SUM(COUNTIFS('SERVICE ENTRY'!$AQ$4:$AQ$1200,{"Chemotherapy","Radiation therapy","Surgery","Hormone therapy","Targeted Therapy"},'SERVICE ENTRY'!$C$4:$C$1200,'County Report'!A11))+SUM(COUNTIFS('SERVICE ENTRY'!$AR$4:$AR$1200,{"Chemotherapy","Radiation therapy","Surgery","Hormone therapy","Targeted Therapy"},'SERVICE ENTRY'!$C$4:$C$1200,'County Report'!A11))</f>
        <v>0</v>
      </c>
      <c r="I11" s="91">
        <f>SUM(COUNTIFS('SERVICE ENTRY'!$C$4:$C$1200,'County Report'!A11,'SERVICE ENTRY'!$BH$4:$BH$1200,{"0-30 days","31-60 days","61-90 days","More than 90 days","Unknown"}))</f>
        <v>0</v>
      </c>
      <c r="J11"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Report'!A11))+SUM(COUNTIFS('SERVICE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Report'!A11))+SUM(COUNTIFS('SERVICE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Report'!A11))</f>
        <v>0</v>
      </c>
      <c r="K11" s="91">
        <f>SUM(COUNTIFS('SERVICE ENTRY'!$AW$4:$AW$1200,{"Transportation","Interpretation/translation services","Co-pay/deductible assistance","Daily living expenses","Childcare"},'SERVICE ENTRY'!$C$4:$C$1200,'County Report'!A11))+SUM(COUNTIFS('SERVICE ENTRY'!$AX$4:$AX$1200,{"Transportation","Interpretation/translation services","Co-pay/deductible assistance","Daily living expenses","Childcare"},'SERVICE ENTRY'!$C$4:$C$1200,'County Report'!A11))+SUM(COUNTIFS('SERVICE ENTRY'!$AY$4:$AY$1200,{"Transportation","Interpretation/translation services","Co-pay/deductible assistance","Daily living expenses","Childcare"},'SERVICE ENTRY'!$C$4:$C$1200,'County Report'!A11))+SUM(COUNTIFS('SERVICE ENTRY'!$AZ$4:$AZ$1200,{"Transportation","Interpretation/translation services","Co-pay/deductible assistance","Daily living expenses","Childcare"},'SERVICE ENTRY'!$C$4:$C$1200,'County Report'!A11))+SUM(COUNTIFS('SERVICE ENTRY'!$BA$4:$BA$1200,{"Transportation","Interpretation/translation services","Co-pay/deductible assistance","Daily living expenses","Childcare"},'SERVICE ENTRY'!$C$4:$C$1200,'County Report'!A11))</f>
        <v>0</v>
      </c>
      <c r="L11" s="187"/>
    </row>
    <row r="12" spans="1:22" x14ac:dyDescent="0.25">
      <c r="A12" s="167" t="s">
        <v>633</v>
      </c>
      <c r="B12" s="91">
        <f>COUNTIF('SERVICE ENTRY'!$C$4:$C$1200,'County Report'!A12)</f>
        <v>0</v>
      </c>
      <c r="C12" s="124">
        <f>SUMIF('SERVICE ENTRY'!$C$4:$C$1200,'County Report'!A12,'SERVICE ENTRY'!$N$4:$N$1200)</f>
        <v>0</v>
      </c>
      <c r="D12" s="91">
        <f>SUM(COUNTIFS('SERVICE ENTRY'!$C$4:$C$1200,'County Report'!A12,'SERVICE ENTRY'!$AC$4:$AC$1200,{"Mammogram","Clinical breast exam","Genetic testing/counseling"}),COUNTIFS('SERVICE ENTRY'!$C$4:$C$1200,'County Report'!A12,'SERVICE ENTRY'!$AD$4:$AD$1200,{"Mammogram","Clinical breast exam","Genetic testing/counseling"}))</f>
        <v>0</v>
      </c>
      <c r="E12" s="91">
        <f>COUNTIFS('SERVICE ENTRY'!$C$4:$C$1200,'County Report'!A12,'SERVICE ENTRY'!$BB$4:$BB$1200,"0-30 days")+COUNTIFS('SERVICE ENTRY'!$C$4:$C$1200,'County Report'!A12,'SERVICE ENTRY'!$BB$4:$BB$1200,"31-60 days")+COUNTIFS('SERVICE ENTRY'!$C$4:$C$1200,'County Report'!A12,'SERVICE ENTRY'!$BB$4:$BB$1200,"61-90 days")++COUNTIFS('SERVICE ENTRY'!$C$4:$C$1200,'County Report'!A12,'SERVICE ENTRY'!$BB$4:$BB$1200,"More than 90 days")+COUNTIFS('SERVICE ENTRY'!$C$4:$C$1200,'County Report'!A12,'SERVICE ENTRY'!$BB$4:$BB$1200,"Unknown")</f>
        <v>0</v>
      </c>
      <c r="F12" s="91">
        <f>SUM(COUNTIFS('SERVICE ENTRY'!$AJ$4:$AJ$1200,{"Diagnostic mammogram","Breast ultrasound","Biopsy","Breast MRI","Genomic testing to guide treatment"},'SERVICE ENTRY'!$C$4:$C$1200,'County Report'!A12))+SUM(COUNTIFS('SERVICE ENTRY'!$AK$4:$AK$1200,{"Diagnostic mammogram","Breast ultrasound","Biopsy","Breast MRI","Genomic testing to guide treatment"},'SERVICE ENTRY'!$C$4:$C$1200,'County Report'!A12))</f>
        <v>0</v>
      </c>
      <c r="G12" s="239">
        <f>SUM(COUNTIFS('SERVICE ENTRY'!$C$4:$C$1200,'County Report'!A12,'SERVICE ENTRY'!$BE$4:$BE$1200,{"0-30 days","31-60 days","61-90 days","More than 90 days","Unknown"}))</f>
        <v>0</v>
      </c>
      <c r="H12" s="91">
        <f>SUM(COUNTIFS('SERVICE ENTRY'!$AP$4:$AP$1200,{"Chemotherapy","Radiation therapy","Surgery","Hormone therapy","Targeted Therapy"},'SERVICE ENTRY'!$C$4:$C$1200,'County Report'!A12))+SUM(COUNTIFS('SERVICE ENTRY'!$AQ$4:$AQ$1200,{"Chemotherapy","Radiation therapy","Surgery","Hormone therapy","Targeted Therapy"},'SERVICE ENTRY'!$C$4:$C$1200,'County Report'!A12))+SUM(COUNTIFS('SERVICE ENTRY'!$AR$4:$AR$1200,{"Chemotherapy","Radiation therapy","Surgery","Hormone therapy","Targeted Therapy"},'SERVICE ENTRY'!$C$4:$C$1200,'County Report'!A12))</f>
        <v>0</v>
      </c>
      <c r="I12" s="91">
        <f>SUM(COUNTIFS('SERVICE ENTRY'!$C$4:$C$1200,'County Report'!A12,'SERVICE ENTRY'!$BH$4:$BH$1200,{"0-30 days","31-60 days","61-90 days","More than 90 days","Unknown"}))</f>
        <v>0</v>
      </c>
      <c r="J12"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Report'!A12))+SUM(COUNTIFS('SERVICE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Report'!A12))+SUM(COUNTIFS('SERVICE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Report'!A12))</f>
        <v>0</v>
      </c>
      <c r="K12" s="91">
        <f>SUM(COUNTIFS('SERVICE ENTRY'!$AW$4:$AW$1200,{"Transportation","Interpretation/translation services","Co-pay/deductible assistance","Daily living expenses","Childcare"},'SERVICE ENTRY'!$C$4:$C$1200,'County Report'!A12))+SUM(COUNTIFS('SERVICE ENTRY'!$AX$4:$AX$1200,{"Transportation","Interpretation/translation services","Co-pay/deductible assistance","Daily living expenses","Childcare"},'SERVICE ENTRY'!$C$4:$C$1200,'County Report'!A12))+SUM(COUNTIFS('SERVICE ENTRY'!$AY$4:$AY$1200,{"Transportation","Interpretation/translation services","Co-pay/deductible assistance","Daily living expenses","Childcare"},'SERVICE ENTRY'!$C$4:$C$1200,'County Report'!A12))+SUM(COUNTIFS('SERVICE ENTRY'!$AZ$4:$AZ$1200,{"Transportation","Interpretation/translation services","Co-pay/deductible assistance","Daily living expenses","Childcare"},'SERVICE ENTRY'!$C$4:$C$1200,'County Report'!A12))+SUM(COUNTIFS('SERVICE ENTRY'!$BA$4:$BA$1200,{"Transportation","Interpretation/translation services","Co-pay/deductible assistance","Daily living expenses","Childcare"},'SERVICE ENTRY'!$C$4:$C$1200,'County Report'!A12))</f>
        <v>0</v>
      </c>
      <c r="L12" s="187"/>
    </row>
    <row r="13" spans="1:22" x14ac:dyDescent="0.25">
      <c r="A13" s="167" t="s">
        <v>634</v>
      </c>
      <c r="B13" s="91">
        <f>COUNTIF('SERVICE ENTRY'!$C$4:$C$1200,'County Report'!A13)</f>
        <v>0</v>
      </c>
      <c r="C13" s="124">
        <f>SUMIF('SERVICE ENTRY'!$C$4:$C$1200,'County Report'!A13,'SERVICE ENTRY'!$N$4:$N$1200)</f>
        <v>0</v>
      </c>
      <c r="D13" s="91">
        <f>SUM(COUNTIFS('SERVICE ENTRY'!$C$4:$C$1200,'County Report'!A13,'SERVICE ENTRY'!$AC$4:$AC$1200,{"Mammogram","Clinical breast exam","Genetic testing/counseling"}),COUNTIFS('SERVICE ENTRY'!$C$4:$C$1200,'County Report'!A13,'SERVICE ENTRY'!$AD$4:$AD$1200,{"Mammogram","Clinical breast exam","Genetic testing/counseling"}))</f>
        <v>0</v>
      </c>
      <c r="E13" s="91">
        <f>COUNTIFS('SERVICE ENTRY'!$C$4:$C$1200,'County Report'!A13,'SERVICE ENTRY'!$BB$4:$BB$1200,"0-30 days")+COUNTIFS('SERVICE ENTRY'!$C$4:$C$1200,'County Report'!A13,'SERVICE ENTRY'!$BB$4:$BB$1200,"31-60 days")+COUNTIFS('SERVICE ENTRY'!$C$4:$C$1200,'County Report'!A13,'SERVICE ENTRY'!$BB$4:$BB$1200,"61-90 days")++COUNTIFS('SERVICE ENTRY'!$C$4:$C$1200,'County Report'!A13,'SERVICE ENTRY'!$BB$4:$BB$1200,"More than 90 days")+COUNTIFS('SERVICE ENTRY'!$C$4:$C$1200,'County Report'!A13,'SERVICE ENTRY'!$BB$4:$BB$1200,"Unknown")</f>
        <v>0</v>
      </c>
      <c r="F13" s="91">
        <f>SUM(COUNTIFS('SERVICE ENTRY'!$AJ$4:$AJ$1200,{"Diagnostic mammogram","Breast ultrasound","Biopsy","Breast MRI","Genomic testing to guide treatment"},'SERVICE ENTRY'!$C$4:$C$1200,'County Report'!A13))+SUM(COUNTIFS('SERVICE ENTRY'!$AK$4:$AK$1200,{"Diagnostic mammogram","Breast ultrasound","Biopsy","Breast MRI","Genomic testing to guide treatment"},'SERVICE ENTRY'!$C$4:$C$1200,'County Report'!A13))</f>
        <v>0</v>
      </c>
      <c r="G13" s="239">
        <f>SUM(COUNTIFS('SERVICE ENTRY'!$C$4:$C$1200,'County Report'!A13,'SERVICE ENTRY'!$BE$4:$BE$1200,{"0-30 days","31-60 days","61-90 days","More than 90 days","Unknown"}))</f>
        <v>0</v>
      </c>
      <c r="H13" s="91">
        <f>SUM(COUNTIFS('SERVICE ENTRY'!$AP$4:$AP$1200,{"Chemotherapy","Radiation therapy","Surgery","Hormone therapy","Targeted Therapy"},'SERVICE ENTRY'!$C$4:$C$1200,'County Report'!A13))+SUM(COUNTIFS('SERVICE ENTRY'!$AQ$4:$AQ$1200,{"Chemotherapy","Radiation therapy","Surgery","Hormone therapy","Targeted Therapy"},'SERVICE ENTRY'!$C$4:$C$1200,'County Report'!A13))+SUM(COUNTIFS('SERVICE ENTRY'!$AR$4:$AR$1200,{"Chemotherapy","Radiation therapy","Surgery","Hormone therapy","Targeted Therapy"},'SERVICE ENTRY'!$C$4:$C$1200,'County Report'!A13))</f>
        <v>0</v>
      </c>
      <c r="I13" s="91">
        <f>SUM(COUNTIFS('SERVICE ENTRY'!$C$4:$C$1200,'County Report'!A13,'SERVICE ENTRY'!$BH$4:$BH$1200,{"0-30 days","31-60 days","61-90 days","More than 90 days","Unknown"}))</f>
        <v>0</v>
      </c>
      <c r="J13"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Report'!A13))+SUM(COUNTIFS('SERVICE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Report'!A13))+SUM(COUNTIFS('SERVICE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Report'!A13))</f>
        <v>0</v>
      </c>
      <c r="K13" s="91">
        <f>SUM(COUNTIFS('SERVICE ENTRY'!$AW$4:$AW$1200,{"Transportation","Interpretation/translation services","Co-pay/deductible assistance","Daily living expenses","Childcare"},'SERVICE ENTRY'!$C$4:$C$1200,'County Report'!A13))+SUM(COUNTIFS('SERVICE ENTRY'!$AX$4:$AX$1200,{"Transportation","Interpretation/translation services","Co-pay/deductible assistance","Daily living expenses","Childcare"},'SERVICE ENTRY'!$C$4:$C$1200,'County Report'!A13))+SUM(COUNTIFS('SERVICE ENTRY'!$AY$4:$AY$1200,{"Transportation","Interpretation/translation services","Co-pay/deductible assistance","Daily living expenses","Childcare"},'SERVICE ENTRY'!$C$4:$C$1200,'County Report'!A13))+SUM(COUNTIFS('SERVICE ENTRY'!$AZ$4:$AZ$1200,{"Transportation","Interpretation/translation services","Co-pay/deductible assistance","Daily living expenses","Childcare"},'SERVICE ENTRY'!$C$4:$C$1200,'County Report'!A13))+SUM(COUNTIFS('SERVICE ENTRY'!$BA$4:$BA$1200,{"Transportation","Interpretation/translation services","Co-pay/deductible assistance","Daily living expenses","Childcare"},'SERVICE ENTRY'!$C$4:$C$1200,'County Report'!A13))</f>
        <v>0</v>
      </c>
      <c r="L13" s="187"/>
    </row>
    <row r="14" spans="1:22" x14ac:dyDescent="0.25">
      <c r="A14" s="167" t="s">
        <v>635</v>
      </c>
      <c r="B14" s="91">
        <f>COUNTIF('SERVICE ENTRY'!$C$4:$C$1200,'County Report'!A14)</f>
        <v>0</v>
      </c>
      <c r="C14" s="124">
        <f>SUMIF('SERVICE ENTRY'!$C$4:$C$1200,'County Report'!A14,'SERVICE ENTRY'!$N$4:$N$1200)</f>
        <v>0</v>
      </c>
      <c r="D14" s="91">
        <f>SUM(COUNTIFS('SERVICE ENTRY'!$C$4:$C$1200,'County Report'!A14,'SERVICE ENTRY'!$AC$4:$AC$1200,{"Mammogram","Clinical breast exam","Genetic testing/counseling"}),COUNTIFS('SERVICE ENTRY'!$C$4:$C$1200,'County Report'!A14,'SERVICE ENTRY'!$AD$4:$AD$1200,{"Mammogram","Clinical breast exam","Genetic testing/counseling"}))</f>
        <v>0</v>
      </c>
      <c r="E14" s="91">
        <f>COUNTIFS('SERVICE ENTRY'!$C$4:$C$1200,'County Report'!A14,'SERVICE ENTRY'!$BB$4:$BB$1200,"0-30 days")+COUNTIFS('SERVICE ENTRY'!$C$4:$C$1200,'County Report'!A14,'SERVICE ENTRY'!$BB$4:$BB$1200,"31-60 days")+COUNTIFS('SERVICE ENTRY'!$C$4:$C$1200,'County Report'!A14,'SERVICE ENTRY'!$BB$4:$BB$1200,"61-90 days")++COUNTIFS('SERVICE ENTRY'!$C$4:$C$1200,'County Report'!A14,'SERVICE ENTRY'!$BB$4:$BB$1200,"More than 90 days")+COUNTIFS('SERVICE ENTRY'!$C$4:$C$1200,'County Report'!A14,'SERVICE ENTRY'!$BB$4:$BB$1200,"Unknown")</f>
        <v>0</v>
      </c>
      <c r="F14" s="91">
        <f>SUM(COUNTIFS('SERVICE ENTRY'!$AJ$4:$AJ$1200,{"Diagnostic mammogram","Breast ultrasound","Biopsy","Breast MRI","Genomic testing to guide treatment"},'SERVICE ENTRY'!$C$4:$C$1200,'County Report'!A14))+SUM(COUNTIFS('SERVICE ENTRY'!$AK$4:$AK$1200,{"Diagnostic mammogram","Breast ultrasound","Biopsy","Breast MRI","Genomic testing to guide treatment"},'SERVICE ENTRY'!$C$4:$C$1200,'County Report'!A14))</f>
        <v>0</v>
      </c>
      <c r="G14" s="239">
        <f>SUM(COUNTIFS('SERVICE ENTRY'!$C$4:$C$1200,'County Report'!A14,'SERVICE ENTRY'!$BE$4:$BE$1200,{"0-30 days","31-60 days","61-90 days","More than 90 days","Unknown"}))</f>
        <v>0</v>
      </c>
      <c r="H14" s="91">
        <f>SUM(COUNTIFS('SERVICE ENTRY'!$AP$4:$AP$1200,{"Chemotherapy","Radiation therapy","Surgery","Hormone therapy","Targeted Therapy"},'SERVICE ENTRY'!$C$4:$C$1200,'County Report'!A14))+SUM(COUNTIFS('SERVICE ENTRY'!$AQ$4:$AQ$1200,{"Chemotherapy","Radiation therapy","Surgery","Hormone therapy","Targeted Therapy"},'SERVICE ENTRY'!$C$4:$C$1200,'County Report'!A14))+SUM(COUNTIFS('SERVICE ENTRY'!$AR$4:$AR$1200,{"Chemotherapy","Radiation therapy","Surgery","Hormone therapy","Targeted Therapy"},'SERVICE ENTRY'!$C$4:$C$1200,'County Report'!A14))</f>
        <v>0</v>
      </c>
      <c r="I14" s="91">
        <f>SUM(COUNTIFS('SERVICE ENTRY'!$C$4:$C$1200,'County Report'!A14,'SERVICE ENTRY'!$BH$4:$BH$1200,{"0-30 days","31-60 days","61-90 days","More than 90 days","Unknown"}))</f>
        <v>0</v>
      </c>
      <c r="J14"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Report'!A14))+SUM(COUNTIFS('SERVICE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Report'!A14))+SUM(COUNTIFS('SERVICE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Report'!A14))</f>
        <v>0</v>
      </c>
      <c r="K14" s="91">
        <f>SUM(COUNTIFS('SERVICE ENTRY'!$AW$4:$AW$1200,{"Transportation","Interpretation/translation services","Co-pay/deductible assistance","Daily living expenses","Childcare"},'SERVICE ENTRY'!$C$4:$C$1200,'County Report'!A14))+SUM(COUNTIFS('SERVICE ENTRY'!$AX$4:$AX$1200,{"Transportation","Interpretation/translation services","Co-pay/deductible assistance","Daily living expenses","Childcare"},'SERVICE ENTRY'!$C$4:$C$1200,'County Report'!A14))+SUM(COUNTIFS('SERVICE ENTRY'!$AY$4:$AY$1200,{"Transportation","Interpretation/translation services","Co-pay/deductible assistance","Daily living expenses","Childcare"},'SERVICE ENTRY'!$C$4:$C$1200,'County Report'!A14))+SUM(COUNTIFS('SERVICE ENTRY'!$AZ$4:$AZ$1200,{"Transportation","Interpretation/translation services","Co-pay/deductible assistance","Daily living expenses","Childcare"},'SERVICE ENTRY'!$C$4:$C$1200,'County Report'!A14))+SUM(COUNTIFS('SERVICE ENTRY'!$BA$4:$BA$1200,{"Transportation","Interpretation/translation services","Co-pay/deductible assistance","Daily living expenses","Childcare"},'SERVICE ENTRY'!$C$4:$C$1200,'County Report'!A14))</f>
        <v>0</v>
      </c>
      <c r="L14" s="187"/>
    </row>
    <row r="15" spans="1:22" x14ac:dyDescent="0.25">
      <c r="A15" s="167" t="s">
        <v>636</v>
      </c>
      <c r="B15" s="91">
        <f>COUNTIF('SERVICE ENTRY'!$C$4:$C$1200,'County Report'!A15)</f>
        <v>0</v>
      </c>
      <c r="C15" s="124">
        <f>SUMIF('SERVICE ENTRY'!$C$4:$C$1200,'County Report'!A15,'SERVICE ENTRY'!$N$4:$N$1200)</f>
        <v>0</v>
      </c>
      <c r="D15" s="91">
        <f>SUM(COUNTIFS('SERVICE ENTRY'!$C$4:$C$1200,'County Report'!A15,'SERVICE ENTRY'!$AC$4:$AC$1200,{"Mammogram","Clinical breast exam","Genetic testing/counseling"}),COUNTIFS('SERVICE ENTRY'!$C$4:$C$1200,'County Report'!A15,'SERVICE ENTRY'!$AD$4:$AD$1200,{"Mammogram","Clinical breast exam","Genetic testing/counseling"}))</f>
        <v>0</v>
      </c>
      <c r="E15" s="91">
        <f>COUNTIFS('SERVICE ENTRY'!$C$4:$C$1200,'County Report'!A15,'SERVICE ENTRY'!$BB$4:$BB$1200,"0-30 days")+COUNTIFS('SERVICE ENTRY'!$C$4:$C$1200,'County Report'!A15,'SERVICE ENTRY'!$BB$4:$BB$1200,"31-60 days")+COUNTIFS('SERVICE ENTRY'!$C$4:$C$1200,'County Report'!A15,'SERVICE ENTRY'!$BB$4:$BB$1200,"61-90 days")++COUNTIFS('SERVICE ENTRY'!$C$4:$C$1200,'County Report'!A15,'SERVICE ENTRY'!$BB$4:$BB$1200,"More than 90 days")+COUNTIFS('SERVICE ENTRY'!$C$4:$C$1200,'County Report'!A15,'SERVICE ENTRY'!$BB$4:$BB$1200,"Unknown")</f>
        <v>0</v>
      </c>
      <c r="F15" s="91">
        <f>SUM(COUNTIFS('SERVICE ENTRY'!$AJ$4:$AJ$1200,{"Diagnostic mammogram","Breast ultrasound","Biopsy","Breast MRI","Genomic testing to guide treatment"},'SERVICE ENTRY'!$C$4:$C$1200,'County Report'!A15))+SUM(COUNTIFS('SERVICE ENTRY'!$AK$4:$AK$1200,{"Diagnostic mammogram","Breast ultrasound","Biopsy","Breast MRI","Genomic testing to guide treatment"},'SERVICE ENTRY'!$C$4:$C$1200,'County Report'!A15))</f>
        <v>0</v>
      </c>
      <c r="G15" s="239">
        <f>SUM(COUNTIFS('SERVICE ENTRY'!$C$4:$C$1200,'County Report'!A15,'SERVICE ENTRY'!$BE$4:$BE$1200,{"0-30 days","31-60 days","61-90 days","More than 90 days","Unknown"}))</f>
        <v>0</v>
      </c>
      <c r="H15" s="91">
        <f>SUM(COUNTIFS('SERVICE ENTRY'!$AP$4:$AP$1200,{"Chemotherapy","Radiation therapy","Surgery","Hormone therapy","Targeted Therapy"},'SERVICE ENTRY'!$C$4:$C$1200,'County Report'!A15))+SUM(COUNTIFS('SERVICE ENTRY'!$AQ$4:$AQ$1200,{"Chemotherapy","Radiation therapy","Surgery","Hormone therapy","Targeted Therapy"},'SERVICE ENTRY'!$C$4:$C$1200,'County Report'!A15))+SUM(COUNTIFS('SERVICE ENTRY'!$AR$4:$AR$1200,{"Chemotherapy","Radiation therapy","Surgery","Hormone therapy","Targeted Therapy"},'SERVICE ENTRY'!$C$4:$C$1200,'County Report'!A15))</f>
        <v>0</v>
      </c>
      <c r="I15" s="91">
        <f>SUM(COUNTIFS('SERVICE ENTRY'!$C$4:$C$1200,'County Report'!A15,'SERVICE ENTRY'!$BH$4:$BH$1200,{"0-30 days","31-60 days","61-90 days","More than 90 days","Unknown"}))</f>
        <v>0</v>
      </c>
      <c r="J15"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Report'!A15))+SUM(COUNTIFS('SERVICE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Report'!A15))+SUM(COUNTIFS('SERVICE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Report'!A15))</f>
        <v>0</v>
      </c>
      <c r="K15" s="91">
        <f>SUM(COUNTIFS('SERVICE ENTRY'!$AW$4:$AW$1200,{"Transportation","Interpretation/translation services","Co-pay/deductible assistance","Daily living expenses","Childcare"},'SERVICE ENTRY'!$C$4:$C$1200,'County Report'!A15))+SUM(COUNTIFS('SERVICE ENTRY'!$AX$4:$AX$1200,{"Transportation","Interpretation/translation services","Co-pay/deductible assistance","Daily living expenses","Childcare"},'SERVICE ENTRY'!$C$4:$C$1200,'County Report'!A15))+SUM(COUNTIFS('SERVICE ENTRY'!$AY$4:$AY$1200,{"Transportation","Interpretation/translation services","Co-pay/deductible assistance","Daily living expenses","Childcare"},'SERVICE ENTRY'!$C$4:$C$1200,'County Report'!A15))+SUM(COUNTIFS('SERVICE ENTRY'!$AZ$4:$AZ$1200,{"Transportation","Interpretation/translation services","Co-pay/deductible assistance","Daily living expenses","Childcare"},'SERVICE ENTRY'!$C$4:$C$1200,'County Report'!A15))+SUM(COUNTIFS('SERVICE ENTRY'!$BA$4:$BA$1200,{"Transportation","Interpretation/translation services","Co-pay/deductible assistance","Daily living expenses","Childcare"},'SERVICE ENTRY'!$C$4:$C$1200,'County Report'!A15))</f>
        <v>0</v>
      </c>
      <c r="L15" s="187"/>
    </row>
    <row r="16" spans="1:22" x14ac:dyDescent="0.25">
      <c r="A16" s="167" t="s">
        <v>637</v>
      </c>
      <c r="B16" s="91">
        <f>COUNTIF('SERVICE ENTRY'!$C$4:$C$1200,'County Report'!A16)</f>
        <v>0</v>
      </c>
      <c r="C16" s="124">
        <f>SUMIF('SERVICE ENTRY'!$C$4:$C$1200,'County Report'!A16,'SERVICE ENTRY'!$N$4:$N$1200)</f>
        <v>0</v>
      </c>
      <c r="D16" s="91">
        <f>SUM(COUNTIFS('SERVICE ENTRY'!$C$4:$C$1200,'County Report'!A16,'SERVICE ENTRY'!$AC$4:$AC$1200,{"Mammogram","Clinical breast exam","Genetic testing/counseling"}),COUNTIFS('SERVICE ENTRY'!$C$4:$C$1200,'County Report'!A16,'SERVICE ENTRY'!$AD$4:$AD$1200,{"Mammogram","Clinical breast exam","Genetic testing/counseling"}))</f>
        <v>0</v>
      </c>
      <c r="E16" s="91">
        <f>COUNTIFS('SERVICE ENTRY'!$C$4:$C$1200,'County Report'!A16,'SERVICE ENTRY'!$BB$4:$BB$1200,"0-30 days")+COUNTIFS('SERVICE ENTRY'!$C$4:$C$1200,'County Report'!A16,'SERVICE ENTRY'!$BB$4:$BB$1200,"31-60 days")+COUNTIFS('SERVICE ENTRY'!$C$4:$C$1200,'County Report'!A16,'SERVICE ENTRY'!$BB$4:$BB$1200,"61-90 days")++COUNTIFS('SERVICE ENTRY'!$C$4:$C$1200,'County Report'!A16,'SERVICE ENTRY'!$BB$4:$BB$1200,"More than 90 days")+COUNTIFS('SERVICE ENTRY'!$C$4:$C$1200,'County Report'!A16,'SERVICE ENTRY'!$BB$4:$BB$1200,"Unknown")</f>
        <v>0</v>
      </c>
      <c r="F16" s="91">
        <f>SUM(COUNTIFS('SERVICE ENTRY'!$AJ$4:$AJ$1200,{"Diagnostic mammogram","Breast ultrasound","Biopsy","Breast MRI","Genomic testing to guide treatment"},'SERVICE ENTRY'!$C$4:$C$1200,'County Report'!A16))+SUM(COUNTIFS('SERVICE ENTRY'!$AK$4:$AK$1200,{"Diagnostic mammogram","Breast ultrasound","Biopsy","Breast MRI","Genomic testing to guide treatment"},'SERVICE ENTRY'!$C$4:$C$1200,'County Report'!A16))</f>
        <v>0</v>
      </c>
      <c r="G16" s="239">
        <f>SUM(COUNTIFS('SERVICE ENTRY'!$C$4:$C$1200,'County Report'!A16,'SERVICE ENTRY'!$BE$4:$BE$1200,{"0-30 days","31-60 days","61-90 days","More than 90 days","Unknown"}))</f>
        <v>0</v>
      </c>
      <c r="H16" s="91">
        <f>SUM(COUNTIFS('SERVICE ENTRY'!$AP$4:$AP$1200,{"Chemotherapy","Radiation therapy","Surgery","Hormone therapy","Targeted Therapy"},'SERVICE ENTRY'!$C$4:$C$1200,'County Report'!A16))+SUM(COUNTIFS('SERVICE ENTRY'!$AQ$4:$AQ$1200,{"Chemotherapy","Radiation therapy","Surgery","Hormone therapy","Targeted Therapy"},'SERVICE ENTRY'!$C$4:$C$1200,'County Report'!A16))+SUM(COUNTIFS('SERVICE ENTRY'!$AR$4:$AR$1200,{"Chemotherapy","Radiation therapy","Surgery","Hormone therapy","Targeted Therapy"},'SERVICE ENTRY'!$C$4:$C$1200,'County Report'!A16))</f>
        <v>0</v>
      </c>
      <c r="I16" s="91">
        <f>SUM(COUNTIFS('SERVICE ENTRY'!$C$4:$C$1200,'County Report'!A16,'SERVICE ENTRY'!$BH$4:$BH$1200,{"0-30 days","31-60 days","61-90 days","More than 90 days","Unknown"}))</f>
        <v>0</v>
      </c>
      <c r="J16"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Report'!A16))+SUM(COUNTIFS('SERVICE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Report'!A16))+SUM(COUNTIFS('SERVICE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Report'!A16))</f>
        <v>0</v>
      </c>
      <c r="K16" s="91">
        <f>SUM(COUNTIFS('SERVICE ENTRY'!$AW$4:$AW$1200,{"Transportation","Interpretation/translation services","Co-pay/deductible assistance","Daily living expenses","Childcare"},'SERVICE ENTRY'!$C$4:$C$1200,'County Report'!A16))+SUM(COUNTIFS('SERVICE ENTRY'!$AX$4:$AX$1200,{"Transportation","Interpretation/translation services","Co-pay/deductible assistance","Daily living expenses","Childcare"},'SERVICE ENTRY'!$C$4:$C$1200,'County Report'!A16))+SUM(COUNTIFS('SERVICE ENTRY'!$AY$4:$AY$1200,{"Transportation","Interpretation/translation services","Co-pay/deductible assistance","Daily living expenses","Childcare"},'SERVICE ENTRY'!$C$4:$C$1200,'County Report'!A16))+SUM(COUNTIFS('SERVICE ENTRY'!$AZ$4:$AZ$1200,{"Transportation","Interpretation/translation services","Co-pay/deductible assistance","Daily living expenses","Childcare"},'SERVICE ENTRY'!$C$4:$C$1200,'County Report'!A16))+SUM(COUNTIFS('SERVICE ENTRY'!$BA$4:$BA$1200,{"Transportation","Interpretation/translation services","Co-pay/deductible assistance","Daily living expenses","Childcare"},'SERVICE ENTRY'!$C$4:$C$1200,'County Report'!A16))</f>
        <v>0</v>
      </c>
      <c r="L16" s="187"/>
    </row>
    <row r="17" spans="1:12" x14ac:dyDescent="0.25">
      <c r="A17" s="167" t="s">
        <v>638</v>
      </c>
      <c r="B17" s="91">
        <f>COUNTIF('SERVICE ENTRY'!$C$4:$C$1200,'County Report'!A17)</f>
        <v>0</v>
      </c>
      <c r="C17" s="124">
        <f>SUMIF('SERVICE ENTRY'!$C$4:$C$1200,'County Report'!A17,'SERVICE ENTRY'!$N$4:$N$1200)</f>
        <v>0</v>
      </c>
      <c r="D17" s="91">
        <f>SUM(COUNTIFS('SERVICE ENTRY'!$C$4:$C$1200,'County Report'!A17,'SERVICE ENTRY'!$AC$4:$AC$1200,{"Mammogram","Clinical breast exam","Genetic testing/counseling"}),COUNTIFS('SERVICE ENTRY'!$C$4:$C$1200,'County Report'!A17,'SERVICE ENTRY'!$AD$4:$AD$1200,{"Mammogram","Clinical breast exam","Genetic testing/counseling"}))</f>
        <v>0</v>
      </c>
      <c r="E17" s="91">
        <f>COUNTIFS('SERVICE ENTRY'!$C$4:$C$1200,'County Report'!A17,'SERVICE ENTRY'!$BB$4:$BB$1200,"0-30 days")+COUNTIFS('SERVICE ENTRY'!$C$4:$C$1200,'County Report'!A17,'SERVICE ENTRY'!$BB$4:$BB$1200,"31-60 days")+COUNTIFS('SERVICE ENTRY'!$C$4:$C$1200,'County Report'!A17,'SERVICE ENTRY'!$BB$4:$BB$1200,"61-90 days")++COUNTIFS('SERVICE ENTRY'!$C$4:$C$1200,'County Report'!A17,'SERVICE ENTRY'!$BB$4:$BB$1200,"More than 90 days")+COUNTIFS('SERVICE ENTRY'!$C$4:$C$1200,'County Report'!A17,'SERVICE ENTRY'!$BB$4:$BB$1200,"Unknown")</f>
        <v>0</v>
      </c>
      <c r="F17" s="91">
        <f>SUM(COUNTIFS('SERVICE ENTRY'!$AJ$4:$AJ$1200,{"Diagnostic mammogram","Breast ultrasound","Biopsy","Breast MRI","Genomic testing to guide treatment"},'SERVICE ENTRY'!$C$4:$C$1200,'County Report'!A17))+SUM(COUNTIFS('SERVICE ENTRY'!$AK$4:$AK$1200,{"Diagnostic mammogram","Breast ultrasound","Biopsy","Breast MRI","Genomic testing to guide treatment"},'SERVICE ENTRY'!$C$4:$C$1200,'County Report'!A17))</f>
        <v>0</v>
      </c>
      <c r="G17" s="239">
        <f>SUM(COUNTIFS('SERVICE ENTRY'!$C$4:$C$1200,'County Report'!A17,'SERVICE ENTRY'!$BE$4:$BE$1200,{"0-30 days","31-60 days","61-90 days","More than 90 days","Unknown"}))</f>
        <v>0</v>
      </c>
      <c r="H17" s="91">
        <f>SUM(COUNTIFS('SERVICE ENTRY'!$AP$4:$AP$1200,{"Chemotherapy","Radiation therapy","Surgery","Hormone therapy","Targeted Therapy"},'SERVICE ENTRY'!$C$4:$C$1200,'County Report'!A17))+SUM(COUNTIFS('SERVICE ENTRY'!$AQ$4:$AQ$1200,{"Chemotherapy","Radiation therapy","Surgery","Hormone therapy","Targeted Therapy"},'SERVICE ENTRY'!$C$4:$C$1200,'County Report'!A17))+SUM(COUNTIFS('SERVICE ENTRY'!$AR$4:$AR$1200,{"Chemotherapy","Radiation therapy","Surgery","Hormone therapy","Targeted Therapy"},'SERVICE ENTRY'!$C$4:$C$1200,'County Report'!A17))</f>
        <v>0</v>
      </c>
      <c r="I17" s="91">
        <f>SUM(COUNTIFS('SERVICE ENTRY'!$C$4:$C$1200,'County Report'!A17,'SERVICE ENTRY'!$BH$4:$BH$1200,{"0-30 days","31-60 days","61-90 days","More than 90 days","Unknown"}))</f>
        <v>0</v>
      </c>
      <c r="J17"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Report'!A17))+SUM(COUNTIFS('SERVICE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Report'!A17))+SUM(COUNTIFS('SERVICE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Report'!A17))</f>
        <v>0</v>
      </c>
      <c r="K17" s="91">
        <f>SUM(COUNTIFS('SERVICE ENTRY'!$AW$4:$AW$1200,{"Transportation","Interpretation/translation services","Co-pay/deductible assistance","Daily living expenses","Childcare"},'SERVICE ENTRY'!$C$4:$C$1200,'County Report'!A17))+SUM(COUNTIFS('SERVICE ENTRY'!$AX$4:$AX$1200,{"Transportation","Interpretation/translation services","Co-pay/deductible assistance","Daily living expenses","Childcare"},'SERVICE ENTRY'!$C$4:$C$1200,'County Report'!A17))+SUM(COUNTIFS('SERVICE ENTRY'!$AY$4:$AY$1200,{"Transportation","Interpretation/translation services","Co-pay/deductible assistance","Daily living expenses","Childcare"},'SERVICE ENTRY'!$C$4:$C$1200,'County Report'!A17))+SUM(COUNTIFS('SERVICE ENTRY'!$AZ$4:$AZ$1200,{"Transportation","Interpretation/translation services","Co-pay/deductible assistance","Daily living expenses","Childcare"},'SERVICE ENTRY'!$C$4:$C$1200,'County Report'!A17))+SUM(COUNTIFS('SERVICE ENTRY'!$BA$4:$BA$1200,{"Transportation","Interpretation/translation services","Co-pay/deductible assistance","Daily living expenses","Childcare"},'SERVICE ENTRY'!$C$4:$C$1200,'County Report'!A17))</f>
        <v>0</v>
      </c>
      <c r="L17" s="187"/>
    </row>
    <row r="18" spans="1:12" x14ac:dyDescent="0.25">
      <c r="A18" s="167" t="s">
        <v>639</v>
      </c>
      <c r="B18" s="91">
        <f>COUNTIF('SERVICE ENTRY'!$C$4:$C$1200,'County Report'!A18)</f>
        <v>0</v>
      </c>
      <c r="C18" s="124">
        <f>SUMIF('SERVICE ENTRY'!$C$4:$C$1200,'County Report'!A18,'SERVICE ENTRY'!$N$4:$N$1200)</f>
        <v>0</v>
      </c>
      <c r="D18" s="91">
        <f>SUM(COUNTIFS('SERVICE ENTRY'!$C$4:$C$1200,'County Report'!A18,'SERVICE ENTRY'!$AC$4:$AC$1200,{"Mammogram","Clinical breast exam","Genetic testing/counseling"}),COUNTIFS('SERVICE ENTRY'!$C$4:$C$1200,'County Report'!A18,'SERVICE ENTRY'!$AD$4:$AD$1200,{"Mammogram","Clinical breast exam","Genetic testing/counseling"}))</f>
        <v>0</v>
      </c>
      <c r="E18" s="91">
        <f>COUNTIFS('SERVICE ENTRY'!$C$4:$C$1200,'County Report'!A18,'SERVICE ENTRY'!$BB$4:$BB$1200,"0-30 days")+COUNTIFS('SERVICE ENTRY'!$C$4:$C$1200,'County Report'!A18,'SERVICE ENTRY'!$BB$4:$BB$1200,"31-60 days")+COUNTIFS('SERVICE ENTRY'!$C$4:$C$1200,'County Report'!A18,'SERVICE ENTRY'!$BB$4:$BB$1200,"61-90 days")++COUNTIFS('SERVICE ENTRY'!$C$4:$C$1200,'County Report'!A18,'SERVICE ENTRY'!$BB$4:$BB$1200,"More than 90 days")+COUNTIFS('SERVICE ENTRY'!$C$4:$C$1200,'County Report'!A18,'SERVICE ENTRY'!$BB$4:$BB$1200,"Unknown")</f>
        <v>0</v>
      </c>
      <c r="F18" s="91">
        <f>SUM(COUNTIFS('SERVICE ENTRY'!$AJ$4:$AJ$1200,{"Diagnostic mammogram","Breast ultrasound","Biopsy","Breast MRI","Genomic testing to guide treatment"},'SERVICE ENTRY'!$C$4:$C$1200,'County Report'!A18))+SUM(COUNTIFS('SERVICE ENTRY'!$AK$4:$AK$1200,{"Diagnostic mammogram","Breast ultrasound","Biopsy","Breast MRI","Genomic testing to guide treatment"},'SERVICE ENTRY'!$C$4:$C$1200,'County Report'!A18))</f>
        <v>0</v>
      </c>
      <c r="G18" s="239">
        <f>SUM(COUNTIFS('SERVICE ENTRY'!$C$4:$C$1200,'County Report'!A18,'SERVICE ENTRY'!$BE$4:$BE$1200,{"0-30 days","31-60 days","61-90 days","More than 90 days","Unknown"}))</f>
        <v>0</v>
      </c>
      <c r="H18" s="91">
        <f>SUM(COUNTIFS('SERVICE ENTRY'!$AP$4:$AP$1200,{"Chemotherapy","Radiation therapy","Surgery","Hormone therapy","Targeted Therapy"},'SERVICE ENTRY'!$C$4:$C$1200,'County Report'!A18))+SUM(COUNTIFS('SERVICE ENTRY'!$AQ$4:$AQ$1200,{"Chemotherapy","Radiation therapy","Surgery","Hormone therapy","Targeted Therapy"},'SERVICE ENTRY'!$C$4:$C$1200,'County Report'!A18))+SUM(COUNTIFS('SERVICE ENTRY'!$AR$4:$AR$1200,{"Chemotherapy","Radiation therapy","Surgery","Hormone therapy","Targeted Therapy"},'SERVICE ENTRY'!$C$4:$C$1200,'County Report'!A18))</f>
        <v>0</v>
      </c>
      <c r="I18" s="91">
        <f>SUM(COUNTIFS('SERVICE ENTRY'!$C$4:$C$1200,'County Report'!A18,'SERVICE ENTRY'!$BH$4:$BH$1200,{"0-30 days","31-60 days","61-90 days","More than 90 days","Unknown"}))</f>
        <v>0</v>
      </c>
      <c r="J18"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Report'!A18))+SUM(COUNTIFS('SERVICE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Report'!A18))+SUM(COUNTIFS('SERVICE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Report'!A18))</f>
        <v>0</v>
      </c>
      <c r="K18" s="91">
        <f>SUM(COUNTIFS('SERVICE ENTRY'!$AW$4:$AW$1200,{"Transportation","Interpretation/translation services","Co-pay/deductible assistance","Daily living expenses","Childcare"},'SERVICE ENTRY'!$C$4:$C$1200,'County Report'!A18))+SUM(COUNTIFS('SERVICE ENTRY'!$AX$4:$AX$1200,{"Transportation","Interpretation/translation services","Co-pay/deductible assistance","Daily living expenses","Childcare"},'SERVICE ENTRY'!$C$4:$C$1200,'County Report'!A18))+SUM(COUNTIFS('SERVICE ENTRY'!$AY$4:$AY$1200,{"Transportation","Interpretation/translation services","Co-pay/deductible assistance","Daily living expenses","Childcare"},'SERVICE ENTRY'!$C$4:$C$1200,'County Report'!A18))+SUM(COUNTIFS('SERVICE ENTRY'!$AZ$4:$AZ$1200,{"Transportation","Interpretation/translation services","Co-pay/deductible assistance","Daily living expenses","Childcare"},'SERVICE ENTRY'!$C$4:$C$1200,'County Report'!A18))+SUM(COUNTIFS('SERVICE ENTRY'!$BA$4:$BA$1200,{"Transportation","Interpretation/translation services","Co-pay/deductible assistance","Daily living expenses","Childcare"},'SERVICE ENTRY'!$C$4:$C$1200,'County Report'!A18))</f>
        <v>0</v>
      </c>
      <c r="L18" s="187"/>
    </row>
    <row r="19" spans="1:12" x14ac:dyDescent="0.25">
      <c r="A19" s="167" t="s">
        <v>640</v>
      </c>
      <c r="B19" s="91">
        <f>COUNTIF('SERVICE ENTRY'!$C$4:$C$1200,'County Report'!A19)</f>
        <v>0</v>
      </c>
      <c r="C19" s="124">
        <f>SUMIF('SERVICE ENTRY'!$C$4:$C$1200,'County Report'!A19,'SERVICE ENTRY'!$N$4:$N$1200)</f>
        <v>0</v>
      </c>
      <c r="D19" s="91">
        <f>SUM(COUNTIFS('SERVICE ENTRY'!$C$4:$C$1200,'County Report'!A19,'SERVICE ENTRY'!$AC$4:$AC$1200,{"Mammogram","Clinical breast exam","Genetic testing/counseling"}),COUNTIFS('SERVICE ENTRY'!$C$4:$C$1200,'County Report'!A19,'SERVICE ENTRY'!$AD$4:$AD$1200,{"Mammogram","Clinical breast exam","Genetic testing/counseling"}))</f>
        <v>0</v>
      </c>
      <c r="E19" s="91">
        <f>COUNTIFS('SERVICE ENTRY'!$C$4:$C$1200,'County Report'!A19,'SERVICE ENTRY'!$BB$4:$BB$1200,"0-30 days")+COUNTIFS('SERVICE ENTRY'!$C$4:$C$1200,'County Report'!A19,'SERVICE ENTRY'!$BB$4:$BB$1200,"31-60 days")+COUNTIFS('SERVICE ENTRY'!$C$4:$C$1200,'County Report'!A19,'SERVICE ENTRY'!$BB$4:$BB$1200,"61-90 days")++COUNTIFS('SERVICE ENTRY'!$C$4:$C$1200,'County Report'!A19,'SERVICE ENTRY'!$BB$4:$BB$1200,"More than 90 days")+COUNTIFS('SERVICE ENTRY'!$C$4:$C$1200,'County Report'!A19,'SERVICE ENTRY'!$BB$4:$BB$1200,"Unknown")</f>
        <v>0</v>
      </c>
      <c r="F19" s="91">
        <f>SUM(COUNTIFS('SERVICE ENTRY'!$AJ$4:$AJ$1200,{"Diagnostic mammogram","Breast ultrasound","Biopsy","Breast MRI","Genomic testing to guide treatment"},'SERVICE ENTRY'!$C$4:$C$1200,'County Report'!A19))+SUM(COUNTIFS('SERVICE ENTRY'!$AK$4:$AK$1200,{"Diagnostic mammogram","Breast ultrasound","Biopsy","Breast MRI","Genomic testing to guide treatment"},'SERVICE ENTRY'!$C$4:$C$1200,'County Report'!A19))</f>
        <v>0</v>
      </c>
      <c r="G19" s="239">
        <f>SUM(COUNTIFS('SERVICE ENTRY'!$C$4:$C$1200,'County Report'!A19,'SERVICE ENTRY'!$BE$4:$BE$1200,{"0-30 days","31-60 days","61-90 days","More than 90 days","Unknown"}))</f>
        <v>0</v>
      </c>
      <c r="H19" s="91">
        <f>SUM(COUNTIFS('SERVICE ENTRY'!$AP$4:$AP$1200,{"Chemotherapy","Radiation therapy","Surgery","Hormone therapy","Targeted Therapy"},'SERVICE ENTRY'!$C$4:$C$1200,'County Report'!A19))+SUM(COUNTIFS('SERVICE ENTRY'!$AQ$4:$AQ$1200,{"Chemotherapy","Radiation therapy","Surgery","Hormone therapy","Targeted Therapy"},'SERVICE ENTRY'!$C$4:$C$1200,'County Report'!A19))+SUM(COUNTIFS('SERVICE ENTRY'!$AR$4:$AR$1200,{"Chemotherapy","Radiation therapy","Surgery","Hormone therapy","Targeted Therapy"},'SERVICE ENTRY'!$C$4:$C$1200,'County Report'!A19))</f>
        <v>0</v>
      </c>
      <c r="I19" s="91">
        <f>SUM(COUNTIFS('SERVICE ENTRY'!$C$4:$C$1200,'County Report'!A19,'SERVICE ENTRY'!$BH$4:$BH$1200,{"0-30 days","31-60 days","61-90 days","More than 90 days","Unknown"}))</f>
        <v>0</v>
      </c>
      <c r="J19"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Report'!A19))+SUM(COUNTIFS('SERVICE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Report'!A19))+SUM(COUNTIFS('SERVICE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Report'!A19))</f>
        <v>0</v>
      </c>
      <c r="K19" s="91">
        <f>SUM(COUNTIFS('SERVICE ENTRY'!$AW$4:$AW$1200,{"Transportation","Interpretation/translation services","Co-pay/deductible assistance","Daily living expenses","Childcare"},'SERVICE ENTRY'!$C$4:$C$1200,'County Report'!A19))+SUM(COUNTIFS('SERVICE ENTRY'!$AX$4:$AX$1200,{"Transportation","Interpretation/translation services","Co-pay/deductible assistance","Daily living expenses","Childcare"},'SERVICE ENTRY'!$C$4:$C$1200,'County Report'!A19))+SUM(COUNTIFS('SERVICE ENTRY'!$AY$4:$AY$1200,{"Transportation","Interpretation/translation services","Co-pay/deductible assistance","Daily living expenses","Childcare"},'SERVICE ENTRY'!$C$4:$C$1200,'County Report'!A19))+SUM(COUNTIFS('SERVICE ENTRY'!$AZ$4:$AZ$1200,{"Transportation","Interpretation/translation services","Co-pay/deductible assistance","Daily living expenses","Childcare"},'SERVICE ENTRY'!$C$4:$C$1200,'County Report'!A19))+SUM(COUNTIFS('SERVICE ENTRY'!$BA$4:$BA$1200,{"Transportation","Interpretation/translation services","Co-pay/deductible assistance","Daily living expenses","Childcare"},'SERVICE ENTRY'!$C$4:$C$1200,'County Report'!A19))</f>
        <v>0</v>
      </c>
      <c r="L19" s="187"/>
    </row>
    <row r="20" spans="1:12" x14ac:dyDescent="0.25">
      <c r="A20" s="167" t="s">
        <v>641</v>
      </c>
      <c r="B20" s="91">
        <f>COUNTIF('SERVICE ENTRY'!$C$4:$C$1200,'County Report'!A20)</f>
        <v>0</v>
      </c>
      <c r="C20" s="124">
        <f>SUMIF('SERVICE ENTRY'!$C$4:$C$1200,'County Report'!A20,'SERVICE ENTRY'!$N$4:$N$1200)</f>
        <v>0</v>
      </c>
      <c r="D20" s="91">
        <f>SUM(COUNTIFS('SERVICE ENTRY'!$C$4:$C$1200,'County Report'!A20,'SERVICE ENTRY'!$AC$4:$AC$1200,{"Mammogram","Clinical breast exam","Genetic testing/counseling"}),COUNTIFS('SERVICE ENTRY'!$C$4:$C$1200,'County Report'!A20,'SERVICE ENTRY'!$AD$4:$AD$1200,{"Mammogram","Clinical breast exam","Genetic testing/counseling"}))</f>
        <v>0</v>
      </c>
      <c r="E20" s="91">
        <f>COUNTIFS('SERVICE ENTRY'!$C$4:$C$1200,'County Report'!A20,'SERVICE ENTRY'!$BB$4:$BB$1200,"0-30 days")+COUNTIFS('SERVICE ENTRY'!$C$4:$C$1200,'County Report'!A20,'SERVICE ENTRY'!$BB$4:$BB$1200,"31-60 days")+COUNTIFS('SERVICE ENTRY'!$C$4:$C$1200,'County Report'!A20,'SERVICE ENTRY'!$BB$4:$BB$1200,"61-90 days")++COUNTIFS('SERVICE ENTRY'!$C$4:$C$1200,'County Report'!A20,'SERVICE ENTRY'!$BB$4:$BB$1200,"More than 90 days")+COUNTIFS('SERVICE ENTRY'!$C$4:$C$1200,'County Report'!A20,'SERVICE ENTRY'!$BB$4:$BB$1200,"Unknown")</f>
        <v>0</v>
      </c>
      <c r="F20" s="91">
        <f>SUM(COUNTIFS('SERVICE ENTRY'!$AJ$4:$AJ$1200,{"Diagnostic mammogram","Breast ultrasound","Biopsy","Breast MRI","Genomic testing to guide treatment"},'SERVICE ENTRY'!$C$4:$C$1200,'County Report'!A20))+SUM(COUNTIFS('SERVICE ENTRY'!$AK$4:$AK$1200,{"Diagnostic mammogram","Breast ultrasound","Biopsy","Breast MRI","Genomic testing to guide treatment"},'SERVICE ENTRY'!$C$4:$C$1200,'County Report'!A20))</f>
        <v>0</v>
      </c>
      <c r="G20" s="239">
        <f>SUM(COUNTIFS('SERVICE ENTRY'!$C$4:$C$1200,'County Report'!A20,'SERVICE ENTRY'!$BE$4:$BE$1200,{"0-30 days","31-60 days","61-90 days","More than 90 days","Unknown"}))</f>
        <v>0</v>
      </c>
      <c r="H20" s="91">
        <f>SUM(COUNTIFS('SERVICE ENTRY'!$AP$4:$AP$1200,{"Chemotherapy","Radiation therapy","Surgery","Hormone therapy","Targeted Therapy"},'SERVICE ENTRY'!$C$4:$C$1200,'County Report'!A20))+SUM(COUNTIFS('SERVICE ENTRY'!$AQ$4:$AQ$1200,{"Chemotherapy","Radiation therapy","Surgery","Hormone therapy","Targeted Therapy"},'SERVICE ENTRY'!$C$4:$C$1200,'County Report'!A20))+SUM(COUNTIFS('SERVICE ENTRY'!$AR$4:$AR$1200,{"Chemotherapy","Radiation therapy","Surgery","Hormone therapy","Targeted Therapy"},'SERVICE ENTRY'!$C$4:$C$1200,'County Report'!A20))</f>
        <v>0</v>
      </c>
      <c r="I20" s="91">
        <f>SUM(COUNTIFS('SERVICE ENTRY'!$C$4:$C$1200,'County Report'!A20,'SERVICE ENTRY'!$BH$4:$BH$1200,{"0-30 days","31-60 days","61-90 days","More than 90 days","Unknown"}))</f>
        <v>0</v>
      </c>
      <c r="J20"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Report'!A20))+SUM(COUNTIFS('SERVICE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Report'!A20))+SUM(COUNTIFS('SERVICE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Report'!A20))</f>
        <v>0</v>
      </c>
      <c r="K20" s="91">
        <f>SUM(COUNTIFS('SERVICE ENTRY'!$AW$4:$AW$1200,{"Transportation","Interpretation/translation services","Co-pay/deductible assistance","Daily living expenses","Childcare"},'SERVICE ENTRY'!$C$4:$C$1200,'County Report'!A20))+SUM(COUNTIFS('SERVICE ENTRY'!$AX$4:$AX$1200,{"Transportation","Interpretation/translation services","Co-pay/deductible assistance","Daily living expenses","Childcare"},'SERVICE ENTRY'!$C$4:$C$1200,'County Report'!A20))+SUM(COUNTIFS('SERVICE ENTRY'!$AY$4:$AY$1200,{"Transportation","Interpretation/translation services","Co-pay/deductible assistance","Daily living expenses","Childcare"},'SERVICE ENTRY'!$C$4:$C$1200,'County Report'!A20))+SUM(COUNTIFS('SERVICE ENTRY'!$AZ$4:$AZ$1200,{"Transportation","Interpretation/translation services","Co-pay/deductible assistance","Daily living expenses","Childcare"},'SERVICE ENTRY'!$C$4:$C$1200,'County Report'!A20))+SUM(COUNTIFS('SERVICE ENTRY'!$BA$4:$BA$1200,{"Transportation","Interpretation/translation services","Co-pay/deductible assistance","Daily living expenses","Childcare"},'SERVICE ENTRY'!$C$4:$C$1200,'County Report'!A20))</f>
        <v>0</v>
      </c>
      <c r="L20" s="187"/>
    </row>
    <row r="21" spans="1:12" x14ac:dyDescent="0.25">
      <c r="A21" s="167" t="s">
        <v>642</v>
      </c>
      <c r="B21" s="91">
        <f>COUNTIF('SERVICE ENTRY'!$C$4:$C$1200,'County Report'!A21)</f>
        <v>0</v>
      </c>
      <c r="C21" s="124">
        <f>SUMIF('SERVICE ENTRY'!$C$4:$C$1200,'County Report'!A21,'SERVICE ENTRY'!$N$4:$N$1200)</f>
        <v>0</v>
      </c>
      <c r="D21" s="91">
        <f>SUM(COUNTIFS('SERVICE ENTRY'!$C$4:$C$1200,'County Report'!A21,'SERVICE ENTRY'!$AC$4:$AC$1200,{"Mammogram","Clinical breast exam","Genetic testing/counseling"}),COUNTIFS('SERVICE ENTRY'!$C$4:$C$1200,'County Report'!A21,'SERVICE ENTRY'!$AD$4:$AD$1200,{"Mammogram","Clinical breast exam","Genetic testing/counseling"}))</f>
        <v>0</v>
      </c>
      <c r="E21" s="91">
        <f>COUNTIFS('SERVICE ENTRY'!$C$4:$C$1200,'County Report'!A21,'SERVICE ENTRY'!$BB$4:$BB$1200,"0-30 days")+COUNTIFS('SERVICE ENTRY'!$C$4:$C$1200,'County Report'!A21,'SERVICE ENTRY'!$BB$4:$BB$1200,"31-60 days")+COUNTIFS('SERVICE ENTRY'!$C$4:$C$1200,'County Report'!A21,'SERVICE ENTRY'!$BB$4:$BB$1200,"61-90 days")++COUNTIFS('SERVICE ENTRY'!$C$4:$C$1200,'County Report'!A21,'SERVICE ENTRY'!$BB$4:$BB$1200,"More than 90 days")+COUNTIFS('SERVICE ENTRY'!$C$4:$C$1200,'County Report'!A21,'SERVICE ENTRY'!$BB$4:$BB$1200,"Unknown")</f>
        <v>0</v>
      </c>
      <c r="F21" s="91">
        <f>SUM(COUNTIFS('SERVICE ENTRY'!$AJ$4:$AJ$1200,{"Diagnostic mammogram","Breast ultrasound","Biopsy","Breast MRI","Genomic testing to guide treatment"},'SERVICE ENTRY'!$C$4:$C$1200,'County Report'!A21))+SUM(COUNTIFS('SERVICE ENTRY'!$AK$4:$AK$1200,{"Diagnostic mammogram","Breast ultrasound","Biopsy","Breast MRI","Genomic testing to guide treatment"},'SERVICE ENTRY'!$C$4:$C$1200,'County Report'!A21))</f>
        <v>0</v>
      </c>
      <c r="G21" s="239">
        <f>SUM(COUNTIFS('SERVICE ENTRY'!$C$4:$C$1200,'County Report'!A21,'SERVICE ENTRY'!$BE$4:$BE$1200,{"0-30 days","31-60 days","61-90 days","More than 90 days","Unknown"}))</f>
        <v>0</v>
      </c>
      <c r="H21" s="91">
        <f>SUM(COUNTIFS('SERVICE ENTRY'!$AP$4:$AP$1200,{"Chemotherapy","Radiation therapy","Surgery","Hormone therapy","Targeted Therapy"},'SERVICE ENTRY'!$C$4:$C$1200,'County Report'!A21))+SUM(COUNTIFS('SERVICE ENTRY'!$AQ$4:$AQ$1200,{"Chemotherapy","Radiation therapy","Surgery","Hormone therapy","Targeted Therapy"},'SERVICE ENTRY'!$C$4:$C$1200,'County Report'!A21))+SUM(COUNTIFS('SERVICE ENTRY'!$AR$4:$AR$1200,{"Chemotherapy","Radiation therapy","Surgery","Hormone therapy","Targeted Therapy"},'SERVICE ENTRY'!$C$4:$C$1200,'County Report'!A21))</f>
        <v>0</v>
      </c>
      <c r="I21" s="91">
        <f>SUM(COUNTIFS('SERVICE ENTRY'!$C$4:$C$1200,'County Report'!A21,'SERVICE ENTRY'!$BH$4:$BH$1200,{"0-30 days","31-60 days","61-90 days","More than 90 days","Unknown"}))</f>
        <v>0</v>
      </c>
      <c r="J21"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Report'!A21))+SUM(COUNTIFS('SERVICE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Report'!A21))+SUM(COUNTIFS('SERVICE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Report'!A21))</f>
        <v>0</v>
      </c>
      <c r="K21" s="91">
        <f>SUM(COUNTIFS('SERVICE ENTRY'!$AW$4:$AW$1200,{"Transportation","Interpretation/translation services","Co-pay/deductible assistance","Daily living expenses","Childcare"},'SERVICE ENTRY'!$C$4:$C$1200,'County Report'!A21))+SUM(COUNTIFS('SERVICE ENTRY'!$AX$4:$AX$1200,{"Transportation","Interpretation/translation services","Co-pay/deductible assistance","Daily living expenses","Childcare"},'SERVICE ENTRY'!$C$4:$C$1200,'County Report'!A21))+SUM(COUNTIFS('SERVICE ENTRY'!$AY$4:$AY$1200,{"Transportation","Interpretation/translation services","Co-pay/deductible assistance","Daily living expenses","Childcare"},'SERVICE ENTRY'!$C$4:$C$1200,'County Report'!A21))+SUM(COUNTIFS('SERVICE ENTRY'!$AZ$4:$AZ$1200,{"Transportation","Interpretation/translation services","Co-pay/deductible assistance","Daily living expenses","Childcare"},'SERVICE ENTRY'!$C$4:$C$1200,'County Report'!A21))+SUM(COUNTIFS('SERVICE ENTRY'!$BA$4:$BA$1200,{"Transportation","Interpretation/translation services","Co-pay/deductible assistance","Daily living expenses","Childcare"},'SERVICE ENTRY'!$C$4:$C$1200,'County Report'!A21))</f>
        <v>0</v>
      </c>
      <c r="L21" s="187"/>
    </row>
    <row r="22" spans="1:12" x14ac:dyDescent="0.25">
      <c r="A22" s="167" t="s">
        <v>643</v>
      </c>
      <c r="B22" s="91">
        <f>COUNTIF('SERVICE ENTRY'!$C$4:$C$1200,'County Report'!A22)</f>
        <v>0</v>
      </c>
      <c r="C22" s="124">
        <f>SUMIF('SERVICE ENTRY'!$C$4:$C$1200,'County Report'!A22,'SERVICE ENTRY'!$N$4:$N$1200)</f>
        <v>0</v>
      </c>
      <c r="D22" s="91">
        <f>SUM(COUNTIFS('SERVICE ENTRY'!$C$4:$C$1200,'County Report'!A22,'SERVICE ENTRY'!$AC$4:$AC$1200,{"Mammogram","Clinical breast exam","Genetic testing/counseling"}),COUNTIFS('SERVICE ENTRY'!$C$4:$C$1200,'County Report'!A22,'SERVICE ENTRY'!$AD$4:$AD$1200,{"Mammogram","Clinical breast exam","Genetic testing/counseling"}))</f>
        <v>0</v>
      </c>
      <c r="E22" s="91">
        <f>COUNTIFS('SERVICE ENTRY'!$C$4:$C$1200,'County Report'!A22,'SERVICE ENTRY'!$BB$4:$BB$1200,"0-30 days")+COUNTIFS('SERVICE ENTRY'!$C$4:$C$1200,'County Report'!A22,'SERVICE ENTRY'!$BB$4:$BB$1200,"31-60 days")+COUNTIFS('SERVICE ENTRY'!$C$4:$C$1200,'County Report'!A22,'SERVICE ENTRY'!$BB$4:$BB$1200,"61-90 days")++COUNTIFS('SERVICE ENTRY'!$C$4:$C$1200,'County Report'!A22,'SERVICE ENTRY'!$BB$4:$BB$1200,"More than 90 days")+COUNTIFS('SERVICE ENTRY'!$C$4:$C$1200,'County Report'!A22,'SERVICE ENTRY'!$BB$4:$BB$1200,"Unknown")</f>
        <v>0</v>
      </c>
      <c r="F22" s="91">
        <f>SUM(COUNTIFS('SERVICE ENTRY'!$AJ$4:$AJ$1200,{"Diagnostic mammogram","Breast ultrasound","Biopsy","Breast MRI","Genomic testing to guide treatment"},'SERVICE ENTRY'!$C$4:$C$1200,'County Report'!A22))+SUM(COUNTIFS('SERVICE ENTRY'!$AK$4:$AK$1200,{"Diagnostic mammogram","Breast ultrasound","Biopsy","Breast MRI","Genomic testing to guide treatment"},'SERVICE ENTRY'!$C$4:$C$1200,'County Report'!A22))</f>
        <v>0</v>
      </c>
      <c r="G22" s="239">
        <f>SUM(COUNTIFS('SERVICE ENTRY'!$C$4:$C$1200,'County Report'!A22,'SERVICE ENTRY'!$BE$4:$BE$1200,{"0-30 days","31-60 days","61-90 days","More than 90 days","Unknown"}))</f>
        <v>0</v>
      </c>
      <c r="H22" s="91">
        <f>SUM(COUNTIFS('SERVICE ENTRY'!$AP$4:$AP$1200,{"Chemotherapy","Radiation therapy","Surgery","Hormone therapy","Targeted Therapy"},'SERVICE ENTRY'!$C$4:$C$1200,'County Report'!A22))+SUM(COUNTIFS('SERVICE ENTRY'!$AQ$4:$AQ$1200,{"Chemotherapy","Radiation therapy","Surgery","Hormone therapy","Targeted Therapy"},'SERVICE ENTRY'!$C$4:$C$1200,'County Report'!A22))+SUM(COUNTIFS('SERVICE ENTRY'!$AR$4:$AR$1200,{"Chemotherapy","Radiation therapy","Surgery","Hormone therapy","Targeted Therapy"},'SERVICE ENTRY'!$C$4:$C$1200,'County Report'!A22))</f>
        <v>0</v>
      </c>
      <c r="I22" s="91">
        <f>SUM(COUNTIFS('SERVICE ENTRY'!$C$4:$C$1200,'County Report'!A22,'SERVICE ENTRY'!$BH$4:$BH$1200,{"0-30 days","31-60 days","61-90 days","More than 90 days","Unknown"}))</f>
        <v>0</v>
      </c>
      <c r="J22"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Report'!A22))+SUM(COUNTIFS('SERVICE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Report'!A22))+SUM(COUNTIFS('SERVICE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Report'!A22))</f>
        <v>0</v>
      </c>
      <c r="K22" s="91">
        <f>SUM(COUNTIFS('SERVICE ENTRY'!$AW$4:$AW$1200,{"Transportation","Interpretation/translation services","Co-pay/deductible assistance","Daily living expenses","Childcare"},'SERVICE ENTRY'!$C$4:$C$1200,'County Report'!A22))+SUM(COUNTIFS('SERVICE ENTRY'!$AX$4:$AX$1200,{"Transportation","Interpretation/translation services","Co-pay/deductible assistance","Daily living expenses","Childcare"},'SERVICE ENTRY'!$C$4:$C$1200,'County Report'!A22))+SUM(COUNTIFS('SERVICE ENTRY'!$AY$4:$AY$1200,{"Transportation","Interpretation/translation services","Co-pay/deductible assistance","Daily living expenses","Childcare"},'SERVICE ENTRY'!$C$4:$C$1200,'County Report'!A22))+SUM(COUNTIFS('SERVICE ENTRY'!$AZ$4:$AZ$1200,{"Transportation","Interpretation/translation services","Co-pay/deductible assistance","Daily living expenses","Childcare"},'SERVICE ENTRY'!$C$4:$C$1200,'County Report'!A22))+SUM(COUNTIFS('SERVICE ENTRY'!$BA$4:$BA$1200,{"Transportation","Interpretation/translation services","Co-pay/deductible assistance","Daily living expenses","Childcare"},'SERVICE ENTRY'!$C$4:$C$1200,'County Report'!A22))</f>
        <v>0</v>
      </c>
      <c r="L22" s="187"/>
    </row>
    <row r="23" spans="1:12" x14ac:dyDescent="0.25">
      <c r="A23" s="167" t="s">
        <v>644</v>
      </c>
      <c r="B23" s="91">
        <f>COUNTIF('SERVICE ENTRY'!$C$4:$C$1200,'County Report'!A23)</f>
        <v>0</v>
      </c>
      <c r="C23" s="124">
        <f>SUMIF('SERVICE ENTRY'!$C$4:$C$1200,'County Report'!A23,'SERVICE ENTRY'!$N$4:$N$1200)</f>
        <v>0</v>
      </c>
      <c r="D23" s="91">
        <f>SUM(COUNTIFS('SERVICE ENTRY'!$C$4:$C$1200,'County Report'!A23,'SERVICE ENTRY'!$AC$4:$AC$1200,{"Mammogram","Clinical breast exam","Genetic testing/counseling"}),COUNTIFS('SERVICE ENTRY'!$C$4:$C$1200,'County Report'!A23,'SERVICE ENTRY'!$AD$4:$AD$1200,{"Mammogram","Clinical breast exam","Genetic testing/counseling"}))</f>
        <v>0</v>
      </c>
      <c r="E23" s="91">
        <f>COUNTIFS('SERVICE ENTRY'!$C$4:$C$1200,'County Report'!A23,'SERVICE ENTRY'!$BB$4:$BB$1200,"0-30 days")+COUNTIFS('SERVICE ENTRY'!$C$4:$C$1200,'County Report'!A23,'SERVICE ENTRY'!$BB$4:$BB$1200,"31-60 days")+COUNTIFS('SERVICE ENTRY'!$C$4:$C$1200,'County Report'!A23,'SERVICE ENTRY'!$BB$4:$BB$1200,"61-90 days")++COUNTIFS('SERVICE ENTRY'!$C$4:$C$1200,'County Report'!A23,'SERVICE ENTRY'!$BB$4:$BB$1200,"More than 90 days")+COUNTIFS('SERVICE ENTRY'!$C$4:$C$1200,'County Report'!A23,'SERVICE ENTRY'!$BB$4:$BB$1200,"Unknown")</f>
        <v>0</v>
      </c>
      <c r="F23" s="91">
        <f>SUM(COUNTIFS('SERVICE ENTRY'!$AJ$4:$AJ$1200,{"Diagnostic mammogram","Breast ultrasound","Biopsy","Breast MRI","Genomic testing to guide treatment"},'SERVICE ENTRY'!$C$4:$C$1200,'County Report'!A23))+SUM(COUNTIFS('SERVICE ENTRY'!$AK$4:$AK$1200,{"Diagnostic mammogram","Breast ultrasound","Biopsy","Breast MRI","Genomic testing to guide treatment"},'SERVICE ENTRY'!$C$4:$C$1200,'County Report'!A23))</f>
        <v>0</v>
      </c>
      <c r="G23" s="239">
        <f>SUM(COUNTIFS('SERVICE ENTRY'!$C$4:$C$1200,'County Report'!A23,'SERVICE ENTRY'!$BE$4:$BE$1200,{"0-30 days","31-60 days","61-90 days","More than 90 days","Unknown"}))</f>
        <v>0</v>
      </c>
      <c r="H23" s="91">
        <f>SUM(COUNTIFS('SERVICE ENTRY'!$AP$4:$AP$1200,{"Chemotherapy","Radiation therapy","Surgery","Hormone therapy","Targeted Therapy"},'SERVICE ENTRY'!$C$4:$C$1200,'County Report'!A23))+SUM(COUNTIFS('SERVICE ENTRY'!$AQ$4:$AQ$1200,{"Chemotherapy","Radiation therapy","Surgery","Hormone therapy","Targeted Therapy"},'SERVICE ENTRY'!$C$4:$C$1200,'County Report'!A23))+SUM(COUNTIFS('SERVICE ENTRY'!$AR$4:$AR$1200,{"Chemotherapy","Radiation therapy","Surgery","Hormone therapy","Targeted Therapy"},'SERVICE ENTRY'!$C$4:$C$1200,'County Report'!A23))</f>
        <v>0</v>
      </c>
      <c r="I23" s="91">
        <f>SUM(COUNTIFS('SERVICE ENTRY'!$C$4:$C$1200,'County Report'!A23,'SERVICE ENTRY'!$BH$4:$BH$1200,{"0-30 days","31-60 days","61-90 days","More than 90 days","Unknown"}))</f>
        <v>0</v>
      </c>
      <c r="J23"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Report'!A23))+SUM(COUNTIFS('SERVICE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Report'!A23))+SUM(COUNTIFS('SERVICE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Report'!A23))</f>
        <v>0</v>
      </c>
      <c r="K23" s="91">
        <f>SUM(COUNTIFS('SERVICE ENTRY'!$AW$4:$AW$1200,{"Transportation","Interpretation/translation services","Co-pay/deductible assistance","Daily living expenses","Childcare"},'SERVICE ENTRY'!$C$4:$C$1200,'County Report'!A23))+SUM(COUNTIFS('SERVICE ENTRY'!$AX$4:$AX$1200,{"Transportation","Interpretation/translation services","Co-pay/deductible assistance","Daily living expenses","Childcare"},'SERVICE ENTRY'!$C$4:$C$1200,'County Report'!A23))+SUM(COUNTIFS('SERVICE ENTRY'!$AY$4:$AY$1200,{"Transportation","Interpretation/translation services","Co-pay/deductible assistance","Daily living expenses","Childcare"},'SERVICE ENTRY'!$C$4:$C$1200,'County Report'!A23))+SUM(COUNTIFS('SERVICE ENTRY'!$AZ$4:$AZ$1200,{"Transportation","Interpretation/translation services","Co-pay/deductible assistance","Daily living expenses","Childcare"},'SERVICE ENTRY'!$C$4:$C$1200,'County Report'!A23))+SUM(COUNTIFS('SERVICE ENTRY'!$BA$4:$BA$1200,{"Transportation","Interpretation/translation services","Co-pay/deductible assistance","Daily living expenses","Childcare"},'SERVICE ENTRY'!$C$4:$C$1200,'County Report'!A23))</f>
        <v>0</v>
      </c>
      <c r="L23" s="187"/>
    </row>
    <row r="24" spans="1:12" x14ac:dyDescent="0.25">
      <c r="A24" s="167" t="s">
        <v>645</v>
      </c>
      <c r="B24" s="91">
        <f>COUNTIF('SERVICE ENTRY'!$C$4:$C$1200,'County Report'!A24)</f>
        <v>0</v>
      </c>
      <c r="C24" s="124">
        <f>SUMIF('SERVICE ENTRY'!$C$4:$C$1200,'County Report'!A24,'SERVICE ENTRY'!$N$4:$N$1200)</f>
        <v>0</v>
      </c>
      <c r="D24" s="91">
        <f>SUM(COUNTIFS('SERVICE ENTRY'!$C$4:$C$1200,'County Report'!A24,'SERVICE ENTRY'!$AC$4:$AC$1200,{"Mammogram","Clinical breast exam","Genetic testing/counseling"}),COUNTIFS('SERVICE ENTRY'!$C$4:$C$1200,'County Report'!A24,'SERVICE ENTRY'!$AD$4:$AD$1200,{"Mammogram","Clinical breast exam","Genetic testing/counseling"}))</f>
        <v>0</v>
      </c>
      <c r="E24" s="91">
        <f>COUNTIFS('SERVICE ENTRY'!$C$4:$C$1200,'County Report'!A24,'SERVICE ENTRY'!$BB$4:$BB$1200,"0-30 days")+COUNTIFS('SERVICE ENTRY'!$C$4:$C$1200,'County Report'!A24,'SERVICE ENTRY'!$BB$4:$BB$1200,"31-60 days")+COUNTIFS('SERVICE ENTRY'!$C$4:$C$1200,'County Report'!A24,'SERVICE ENTRY'!$BB$4:$BB$1200,"61-90 days")++COUNTIFS('SERVICE ENTRY'!$C$4:$C$1200,'County Report'!A24,'SERVICE ENTRY'!$BB$4:$BB$1200,"More than 90 days")+COUNTIFS('SERVICE ENTRY'!$C$4:$C$1200,'County Report'!A24,'SERVICE ENTRY'!$BB$4:$BB$1200,"Unknown")</f>
        <v>0</v>
      </c>
      <c r="F24" s="91">
        <f>SUM(COUNTIFS('SERVICE ENTRY'!$AJ$4:$AJ$1200,{"Diagnostic mammogram","Breast ultrasound","Biopsy","Breast MRI","Genomic testing to guide treatment"},'SERVICE ENTRY'!$C$4:$C$1200,'County Report'!A24))+SUM(COUNTIFS('SERVICE ENTRY'!$AK$4:$AK$1200,{"Diagnostic mammogram","Breast ultrasound","Biopsy","Breast MRI","Genomic testing to guide treatment"},'SERVICE ENTRY'!$C$4:$C$1200,'County Report'!A24))</f>
        <v>0</v>
      </c>
      <c r="G24" s="239">
        <f>SUM(COUNTIFS('SERVICE ENTRY'!$C$4:$C$1200,'County Report'!A24,'SERVICE ENTRY'!$BE$4:$BE$1200,{"0-30 days","31-60 days","61-90 days","More than 90 days","Unknown"}))</f>
        <v>0</v>
      </c>
      <c r="H24" s="91">
        <f>SUM(COUNTIFS('SERVICE ENTRY'!$AP$4:$AP$1200,{"Chemotherapy","Radiation therapy","Surgery","Hormone therapy","Targeted Therapy"},'SERVICE ENTRY'!$C$4:$C$1200,'County Report'!A24))+SUM(COUNTIFS('SERVICE ENTRY'!$AQ$4:$AQ$1200,{"Chemotherapy","Radiation therapy","Surgery","Hormone therapy","Targeted Therapy"},'SERVICE ENTRY'!$C$4:$C$1200,'County Report'!A24))+SUM(COUNTIFS('SERVICE ENTRY'!$AR$4:$AR$1200,{"Chemotherapy","Radiation therapy","Surgery","Hormone therapy","Targeted Therapy"},'SERVICE ENTRY'!$C$4:$C$1200,'County Report'!A24))</f>
        <v>0</v>
      </c>
      <c r="I24" s="91">
        <f>SUM(COUNTIFS('SERVICE ENTRY'!$C$4:$C$1200,'County Report'!A24,'SERVICE ENTRY'!$BH$4:$BH$1200,{"0-30 days","31-60 days","61-90 days","More than 90 days","Unknown"}))</f>
        <v>0</v>
      </c>
      <c r="J24"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Report'!A24))+SUM(COUNTIFS('SERVICE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Report'!A24))+SUM(COUNTIFS('SERVICE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Report'!A24))</f>
        <v>0</v>
      </c>
      <c r="K24" s="91">
        <f>SUM(COUNTIFS('SERVICE ENTRY'!$AW$4:$AW$1200,{"Transportation","Interpretation/translation services","Co-pay/deductible assistance","Daily living expenses","Childcare"},'SERVICE ENTRY'!$C$4:$C$1200,'County Report'!A24))+SUM(COUNTIFS('SERVICE ENTRY'!$AX$4:$AX$1200,{"Transportation","Interpretation/translation services","Co-pay/deductible assistance","Daily living expenses","Childcare"},'SERVICE ENTRY'!$C$4:$C$1200,'County Report'!A24))+SUM(COUNTIFS('SERVICE ENTRY'!$AY$4:$AY$1200,{"Transportation","Interpretation/translation services","Co-pay/deductible assistance","Daily living expenses","Childcare"},'SERVICE ENTRY'!$C$4:$C$1200,'County Report'!A24))+SUM(COUNTIFS('SERVICE ENTRY'!$AZ$4:$AZ$1200,{"Transportation","Interpretation/translation services","Co-pay/deductible assistance","Daily living expenses","Childcare"},'SERVICE ENTRY'!$C$4:$C$1200,'County Report'!A24))+SUM(COUNTIFS('SERVICE ENTRY'!$BA$4:$BA$1200,{"Transportation","Interpretation/translation services","Co-pay/deductible assistance","Daily living expenses","Childcare"},'SERVICE ENTRY'!$C$4:$C$1200,'County Report'!A24))</f>
        <v>0</v>
      </c>
      <c r="L24" s="187"/>
    </row>
    <row r="25" spans="1:12" x14ac:dyDescent="0.25">
      <c r="A25" s="167" t="s">
        <v>646</v>
      </c>
      <c r="B25" s="91">
        <f>COUNTIF('SERVICE ENTRY'!$C$4:$C$1200,'County Report'!A25)</f>
        <v>0</v>
      </c>
      <c r="C25" s="124">
        <f>SUMIF('SERVICE ENTRY'!$C$4:$C$1200,'County Report'!A25,'SERVICE ENTRY'!$N$4:$N$1200)</f>
        <v>0</v>
      </c>
      <c r="D25" s="91">
        <f>SUM(COUNTIFS('SERVICE ENTRY'!$C$4:$C$1200,'County Report'!A25,'SERVICE ENTRY'!$AC$4:$AC$1200,{"Mammogram","Clinical breast exam","Genetic testing/counseling"}),COUNTIFS('SERVICE ENTRY'!$C$4:$C$1200,'County Report'!A25,'SERVICE ENTRY'!$AD$4:$AD$1200,{"Mammogram","Clinical breast exam","Genetic testing/counseling"}))</f>
        <v>0</v>
      </c>
      <c r="E25" s="91">
        <f>COUNTIFS('SERVICE ENTRY'!$C$4:$C$1200,'County Report'!A25,'SERVICE ENTRY'!$BB$4:$BB$1200,"0-30 days")+COUNTIFS('SERVICE ENTRY'!$C$4:$C$1200,'County Report'!A25,'SERVICE ENTRY'!$BB$4:$BB$1200,"31-60 days")+COUNTIFS('SERVICE ENTRY'!$C$4:$C$1200,'County Report'!A25,'SERVICE ENTRY'!$BB$4:$BB$1200,"61-90 days")++COUNTIFS('SERVICE ENTRY'!$C$4:$C$1200,'County Report'!A25,'SERVICE ENTRY'!$BB$4:$BB$1200,"More than 90 days")+COUNTIFS('SERVICE ENTRY'!$C$4:$C$1200,'County Report'!A25,'SERVICE ENTRY'!$BB$4:$BB$1200,"Unknown")</f>
        <v>0</v>
      </c>
      <c r="F25" s="91">
        <f>SUM(COUNTIFS('SERVICE ENTRY'!$AJ$4:$AJ$1200,{"Diagnostic mammogram","Breast ultrasound","Biopsy","Breast MRI","Genomic testing to guide treatment"},'SERVICE ENTRY'!$C$4:$C$1200,'County Report'!A25))+SUM(COUNTIFS('SERVICE ENTRY'!$AK$4:$AK$1200,{"Diagnostic mammogram","Breast ultrasound","Biopsy","Breast MRI","Genomic testing to guide treatment"},'SERVICE ENTRY'!$C$4:$C$1200,'County Report'!A25))</f>
        <v>0</v>
      </c>
      <c r="G25" s="239">
        <f>SUM(COUNTIFS('SERVICE ENTRY'!$C$4:$C$1200,'County Report'!A25,'SERVICE ENTRY'!$BE$4:$BE$1200,{"0-30 days","31-60 days","61-90 days","More than 90 days","Unknown"}))</f>
        <v>0</v>
      </c>
      <c r="H25" s="91">
        <f>SUM(COUNTIFS('SERVICE ENTRY'!$AP$4:$AP$1200,{"Chemotherapy","Radiation therapy","Surgery","Hormone therapy","Targeted Therapy"},'SERVICE ENTRY'!$C$4:$C$1200,'County Report'!A25))+SUM(COUNTIFS('SERVICE ENTRY'!$AQ$4:$AQ$1200,{"Chemotherapy","Radiation therapy","Surgery","Hormone therapy","Targeted Therapy"},'SERVICE ENTRY'!$C$4:$C$1200,'County Report'!A25))+SUM(COUNTIFS('SERVICE ENTRY'!$AR$4:$AR$1200,{"Chemotherapy","Radiation therapy","Surgery","Hormone therapy","Targeted Therapy"},'SERVICE ENTRY'!$C$4:$C$1200,'County Report'!A25))</f>
        <v>0</v>
      </c>
      <c r="I25" s="91">
        <f>SUM(COUNTIFS('SERVICE ENTRY'!$C$4:$C$1200,'County Report'!A25,'SERVICE ENTRY'!$BH$4:$BH$1200,{"0-30 days","31-60 days","61-90 days","More than 90 days","Unknown"}))</f>
        <v>0</v>
      </c>
      <c r="J25"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Report'!A25))+SUM(COUNTIFS('SERVICE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Report'!A25))+SUM(COUNTIFS('SERVICE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Report'!A25))</f>
        <v>0</v>
      </c>
      <c r="K25" s="91">
        <f>SUM(COUNTIFS('SERVICE ENTRY'!$AW$4:$AW$1200,{"Transportation","Interpretation/translation services","Co-pay/deductible assistance","Daily living expenses","Childcare"},'SERVICE ENTRY'!$C$4:$C$1200,'County Report'!A25))+SUM(COUNTIFS('SERVICE ENTRY'!$AX$4:$AX$1200,{"Transportation","Interpretation/translation services","Co-pay/deductible assistance","Daily living expenses","Childcare"},'SERVICE ENTRY'!$C$4:$C$1200,'County Report'!A25))+SUM(COUNTIFS('SERVICE ENTRY'!$AY$4:$AY$1200,{"Transportation","Interpretation/translation services","Co-pay/deductible assistance","Daily living expenses","Childcare"},'SERVICE ENTRY'!$C$4:$C$1200,'County Report'!A25))+SUM(COUNTIFS('SERVICE ENTRY'!$AZ$4:$AZ$1200,{"Transportation","Interpretation/translation services","Co-pay/deductible assistance","Daily living expenses","Childcare"},'SERVICE ENTRY'!$C$4:$C$1200,'County Report'!A25))+SUM(COUNTIFS('SERVICE ENTRY'!$BA$4:$BA$1200,{"Transportation","Interpretation/translation services","Co-pay/deductible assistance","Daily living expenses","Childcare"},'SERVICE ENTRY'!$C$4:$C$1200,'County Report'!A25))</f>
        <v>0</v>
      </c>
      <c r="L25" s="187"/>
    </row>
    <row r="26" spans="1:12" x14ac:dyDescent="0.25">
      <c r="A26" s="167" t="s">
        <v>647</v>
      </c>
      <c r="B26" s="91">
        <f>COUNTIF('SERVICE ENTRY'!$C$4:$C$1200,'County Report'!A26)</f>
        <v>0</v>
      </c>
      <c r="C26" s="124">
        <f>SUMIF('SERVICE ENTRY'!$C$4:$C$1200,'County Report'!A26,'SERVICE ENTRY'!$N$4:$N$1200)</f>
        <v>0</v>
      </c>
      <c r="D26" s="91">
        <f>SUM(COUNTIFS('SERVICE ENTRY'!$C$4:$C$1200,'County Report'!A26,'SERVICE ENTRY'!$AC$4:$AC$1200,{"Mammogram","Clinical breast exam","Genetic testing/counseling"}),COUNTIFS('SERVICE ENTRY'!$C$4:$C$1200,'County Report'!A26,'SERVICE ENTRY'!$AD$4:$AD$1200,{"Mammogram","Clinical breast exam","Genetic testing/counseling"}))</f>
        <v>0</v>
      </c>
      <c r="E26" s="91">
        <f>COUNTIFS('SERVICE ENTRY'!$C$4:$C$1200,'County Report'!A26,'SERVICE ENTRY'!$BB$4:$BB$1200,"0-30 days")+COUNTIFS('SERVICE ENTRY'!$C$4:$C$1200,'County Report'!A26,'SERVICE ENTRY'!$BB$4:$BB$1200,"31-60 days")+COUNTIFS('SERVICE ENTRY'!$C$4:$C$1200,'County Report'!A26,'SERVICE ENTRY'!$BB$4:$BB$1200,"61-90 days")++COUNTIFS('SERVICE ENTRY'!$C$4:$C$1200,'County Report'!A26,'SERVICE ENTRY'!$BB$4:$BB$1200,"More than 90 days")+COUNTIFS('SERVICE ENTRY'!$C$4:$C$1200,'County Report'!A26,'SERVICE ENTRY'!$BB$4:$BB$1200,"Unknown")</f>
        <v>0</v>
      </c>
      <c r="F26" s="91">
        <f>SUM(COUNTIFS('SERVICE ENTRY'!$AJ$4:$AJ$1200,{"Diagnostic mammogram","Breast ultrasound","Biopsy","Breast MRI","Genomic testing to guide treatment"},'SERVICE ENTRY'!$C$4:$C$1200,'County Report'!A26))+SUM(COUNTIFS('SERVICE ENTRY'!$AK$4:$AK$1200,{"Diagnostic mammogram","Breast ultrasound","Biopsy","Breast MRI","Genomic testing to guide treatment"},'SERVICE ENTRY'!$C$4:$C$1200,'County Report'!A26))</f>
        <v>0</v>
      </c>
      <c r="G26" s="239">
        <f>SUM(COUNTIFS('SERVICE ENTRY'!$C$4:$C$1200,'County Report'!A26,'SERVICE ENTRY'!$BE$4:$BE$1200,{"0-30 days","31-60 days","61-90 days","More than 90 days","Unknown"}))</f>
        <v>0</v>
      </c>
      <c r="H26" s="91">
        <f>SUM(COUNTIFS('SERVICE ENTRY'!$AP$4:$AP$1200,{"Chemotherapy","Radiation therapy","Surgery","Hormone therapy","Targeted Therapy"},'SERVICE ENTRY'!$C$4:$C$1200,'County Report'!A26))+SUM(COUNTIFS('SERVICE ENTRY'!$AQ$4:$AQ$1200,{"Chemotherapy","Radiation therapy","Surgery","Hormone therapy","Targeted Therapy"},'SERVICE ENTRY'!$C$4:$C$1200,'County Report'!A26))+SUM(COUNTIFS('SERVICE ENTRY'!$AR$4:$AR$1200,{"Chemotherapy","Radiation therapy","Surgery","Hormone therapy","Targeted Therapy"},'SERVICE ENTRY'!$C$4:$C$1200,'County Report'!A26))</f>
        <v>0</v>
      </c>
      <c r="I26" s="91">
        <f>SUM(COUNTIFS('SERVICE ENTRY'!$C$4:$C$1200,'County Report'!A26,'SERVICE ENTRY'!$BH$4:$BH$1200,{"0-30 days","31-60 days","61-90 days","More than 90 days","Unknown"}))</f>
        <v>0</v>
      </c>
      <c r="J26"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Report'!A26))+SUM(COUNTIFS('SERVICE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Report'!A26))+SUM(COUNTIFS('SERVICE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Report'!A26))</f>
        <v>0</v>
      </c>
      <c r="K26" s="91">
        <f>SUM(COUNTIFS('SERVICE ENTRY'!$AW$4:$AW$1200,{"Transportation","Interpretation/translation services","Co-pay/deductible assistance","Daily living expenses","Childcare"},'SERVICE ENTRY'!$C$4:$C$1200,'County Report'!A26))+SUM(COUNTIFS('SERVICE ENTRY'!$AX$4:$AX$1200,{"Transportation","Interpretation/translation services","Co-pay/deductible assistance","Daily living expenses","Childcare"},'SERVICE ENTRY'!$C$4:$C$1200,'County Report'!A26))+SUM(COUNTIFS('SERVICE ENTRY'!$AY$4:$AY$1200,{"Transportation","Interpretation/translation services","Co-pay/deductible assistance","Daily living expenses","Childcare"},'SERVICE ENTRY'!$C$4:$C$1200,'County Report'!A26))+SUM(COUNTIFS('SERVICE ENTRY'!$AZ$4:$AZ$1200,{"Transportation","Interpretation/translation services","Co-pay/deductible assistance","Daily living expenses","Childcare"},'SERVICE ENTRY'!$C$4:$C$1200,'County Report'!A26))+SUM(COUNTIFS('SERVICE ENTRY'!$BA$4:$BA$1200,{"Transportation","Interpretation/translation services","Co-pay/deductible assistance","Daily living expenses","Childcare"},'SERVICE ENTRY'!$C$4:$C$1200,'County Report'!A26))</f>
        <v>0</v>
      </c>
      <c r="L26" s="187"/>
    </row>
    <row r="27" spans="1:12" x14ac:dyDescent="0.25">
      <c r="A27" s="167" t="s">
        <v>648</v>
      </c>
      <c r="B27" s="91">
        <f>COUNTIF('SERVICE ENTRY'!$C$4:$C$1200,'County Report'!A27)</f>
        <v>0</v>
      </c>
      <c r="C27" s="124">
        <f>SUMIF('SERVICE ENTRY'!$C$4:$C$1200,'County Report'!A27,'SERVICE ENTRY'!$N$4:$N$1200)</f>
        <v>0</v>
      </c>
      <c r="D27" s="91">
        <f>SUM(COUNTIFS('SERVICE ENTRY'!$C$4:$C$1200,'County Report'!A27,'SERVICE ENTRY'!$AC$4:$AC$1200,{"Mammogram","Clinical breast exam","Genetic testing/counseling"}),COUNTIFS('SERVICE ENTRY'!$C$4:$C$1200,'County Report'!A27,'SERVICE ENTRY'!$AD$4:$AD$1200,{"Mammogram","Clinical breast exam","Genetic testing/counseling"}))</f>
        <v>0</v>
      </c>
      <c r="E27" s="91">
        <f>COUNTIFS('SERVICE ENTRY'!$C$4:$C$1200,'County Report'!A27,'SERVICE ENTRY'!$BB$4:$BB$1200,"0-30 days")+COUNTIFS('SERVICE ENTRY'!$C$4:$C$1200,'County Report'!A27,'SERVICE ENTRY'!$BB$4:$BB$1200,"31-60 days")+COUNTIFS('SERVICE ENTRY'!$C$4:$C$1200,'County Report'!A27,'SERVICE ENTRY'!$BB$4:$BB$1200,"61-90 days")++COUNTIFS('SERVICE ENTRY'!$C$4:$C$1200,'County Report'!A27,'SERVICE ENTRY'!$BB$4:$BB$1200,"More than 90 days")+COUNTIFS('SERVICE ENTRY'!$C$4:$C$1200,'County Report'!A27,'SERVICE ENTRY'!$BB$4:$BB$1200,"Unknown")</f>
        <v>0</v>
      </c>
      <c r="F27" s="91">
        <f>SUM(COUNTIFS('SERVICE ENTRY'!$AJ$4:$AJ$1200,{"Diagnostic mammogram","Breast ultrasound","Biopsy","Breast MRI","Genomic testing to guide treatment"},'SERVICE ENTRY'!$C$4:$C$1200,'County Report'!A27))+SUM(COUNTIFS('SERVICE ENTRY'!$AK$4:$AK$1200,{"Diagnostic mammogram","Breast ultrasound","Biopsy","Breast MRI","Genomic testing to guide treatment"},'SERVICE ENTRY'!$C$4:$C$1200,'County Report'!A27))</f>
        <v>0</v>
      </c>
      <c r="G27" s="239">
        <f>SUM(COUNTIFS('SERVICE ENTRY'!$C$4:$C$1200,'County Report'!A27,'SERVICE ENTRY'!$BE$4:$BE$1200,{"0-30 days","31-60 days","61-90 days","More than 90 days","Unknown"}))</f>
        <v>0</v>
      </c>
      <c r="H27" s="91">
        <f>SUM(COUNTIFS('SERVICE ENTRY'!$AP$4:$AP$1200,{"Chemotherapy","Radiation therapy","Surgery","Hormone therapy","Targeted Therapy"},'SERVICE ENTRY'!$C$4:$C$1200,'County Report'!A27))+SUM(COUNTIFS('SERVICE ENTRY'!$AQ$4:$AQ$1200,{"Chemotherapy","Radiation therapy","Surgery","Hormone therapy","Targeted Therapy"},'SERVICE ENTRY'!$C$4:$C$1200,'County Report'!A27))+SUM(COUNTIFS('SERVICE ENTRY'!$AR$4:$AR$1200,{"Chemotherapy","Radiation therapy","Surgery","Hormone therapy","Targeted Therapy"},'SERVICE ENTRY'!$C$4:$C$1200,'County Report'!A27))</f>
        <v>0</v>
      </c>
      <c r="I27" s="91">
        <f>SUM(COUNTIFS('SERVICE ENTRY'!$C$4:$C$1200,'County Report'!A27,'SERVICE ENTRY'!$BH$4:$BH$1200,{"0-30 days","31-60 days","61-90 days","More than 90 days","Unknown"}))</f>
        <v>0</v>
      </c>
      <c r="J27"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Report'!A27))+SUM(COUNTIFS('SERVICE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Report'!A27))+SUM(COUNTIFS('SERVICE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Report'!A27))</f>
        <v>0</v>
      </c>
      <c r="K27" s="91">
        <f>SUM(COUNTIFS('SERVICE ENTRY'!$AW$4:$AW$1200,{"Transportation","Interpretation/translation services","Co-pay/deductible assistance","Daily living expenses","Childcare"},'SERVICE ENTRY'!$C$4:$C$1200,'County Report'!A27))+SUM(COUNTIFS('SERVICE ENTRY'!$AX$4:$AX$1200,{"Transportation","Interpretation/translation services","Co-pay/deductible assistance","Daily living expenses","Childcare"},'SERVICE ENTRY'!$C$4:$C$1200,'County Report'!A27))+SUM(COUNTIFS('SERVICE ENTRY'!$AY$4:$AY$1200,{"Transportation","Interpretation/translation services","Co-pay/deductible assistance","Daily living expenses","Childcare"},'SERVICE ENTRY'!$C$4:$C$1200,'County Report'!A27))+SUM(COUNTIFS('SERVICE ENTRY'!$AZ$4:$AZ$1200,{"Transportation","Interpretation/translation services","Co-pay/deductible assistance","Daily living expenses","Childcare"},'SERVICE ENTRY'!$C$4:$C$1200,'County Report'!A27))+SUM(COUNTIFS('SERVICE ENTRY'!$BA$4:$BA$1200,{"Transportation","Interpretation/translation services","Co-pay/deductible assistance","Daily living expenses","Childcare"},'SERVICE ENTRY'!$C$4:$C$1200,'County Report'!A27))</f>
        <v>0</v>
      </c>
      <c r="L27" s="187"/>
    </row>
    <row r="28" spans="1:12" x14ac:dyDescent="0.25">
      <c r="A28" s="167" t="s">
        <v>649</v>
      </c>
      <c r="B28" s="91">
        <f>COUNTIF('SERVICE ENTRY'!$C$4:$C$1200,'County Report'!A28)</f>
        <v>0</v>
      </c>
      <c r="C28" s="124">
        <f>SUMIF('SERVICE ENTRY'!$C$4:$C$1200,'County Report'!A28,'SERVICE ENTRY'!$N$4:$N$1200)</f>
        <v>0</v>
      </c>
      <c r="D28" s="91">
        <f>SUM(COUNTIFS('SERVICE ENTRY'!$C$4:$C$1200,'County Report'!A28,'SERVICE ENTRY'!$AC$4:$AC$1200,{"Mammogram","Clinical breast exam","Genetic testing/counseling"}),COUNTIFS('SERVICE ENTRY'!$C$4:$C$1200,'County Report'!A28,'SERVICE ENTRY'!$AD$4:$AD$1200,{"Mammogram","Clinical breast exam","Genetic testing/counseling"}))</f>
        <v>0</v>
      </c>
      <c r="E28" s="91">
        <f>COUNTIFS('SERVICE ENTRY'!$C$4:$C$1200,'County Report'!A28,'SERVICE ENTRY'!$BB$4:$BB$1200,"0-30 days")+COUNTIFS('SERVICE ENTRY'!$C$4:$C$1200,'County Report'!A28,'SERVICE ENTRY'!$BB$4:$BB$1200,"31-60 days")+COUNTIFS('SERVICE ENTRY'!$C$4:$C$1200,'County Report'!A28,'SERVICE ENTRY'!$BB$4:$BB$1200,"61-90 days")++COUNTIFS('SERVICE ENTRY'!$C$4:$C$1200,'County Report'!A28,'SERVICE ENTRY'!$BB$4:$BB$1200,"More than 90 days")+COUNTIFS('SERVICE ENTRY'!$C$4:$C$1200,'County Report'!A28,'SERVICE ENTRY'!$BB$4:$BB$1200,"Unknown")</f>
        <v>0</v>
      </c>
      <c r="F28" s="91">
        <f>SUM(COUNTIFS('SERVICE ENTRY'!$AJ$4:$AJ$1200,{"Diagnostic mammogram","Breast ultrasound","Biopsy","Breast MRI","Genomic testing to guide treatment"},'SERVICE ENTRY'!$C$4:$C$1200,'County Report'!A28))+SUM(COUNTIFS('SERVICE ENTRY'!$AK$4:$AK$1200,{"Diagnostic mammogram","Breast ultrasound","Biopsy","Breast MRI","Genomic testing to guide treatment"},'SERVICE ENTRY'!$C$4:$C$1200,'County Report'!A28))</f>
        <v>0</v>
      </c>
      <c r="G28" s="239">
        <f>SUM(COUNTIFS('SERVICE ENTRY'!$C$4:$C$1200,'County Report'!A28,'SERVICE ENTRY'!$BE$4:$BE$1200,{"0-30 days","31-60 days","61-90 days","More than 90 days","Unknown"}))</f>
        <v>0</v>
      </c>
      <c r="H28" s="91">
        <f>SUM(COUNTIFS('SERVICE ENTRY'!$AP$4:$AP$1200,{"Chemotherapy","Radiation therapy","Surgery","Hormone therapy","Targeted Therapy"},'SERVICE ENTRY'!$C$4:$C$1200,'County Report'!A28))+SUM(COUNTIFS('SERVICE ENTRY'!$AQ$4:$AQ$1200,{"Chemotherapy","Radiation therapy","Surgery","Hormone therapy","Targeted Therapy"},'SERVICE ENTRY'!$C$4:$C$1200,'County Report'!A28))+SUM(COUNTIFS('SERVICE ENTRY'!$AR$4:$AR$1200,{"Chemotherapy","Radiation therapy","Surgery","Hormone therapy","Targeted Therapy"},'SERVICE ENTRY'!$C$4:$C$1200,'County Report'!A28))</f>
        <v>0</v>
      </c>
      <c r="I28" s="91">
        <f>SUM(COUNTIFS('SERVICE ENTRY'!$C$4:$C$1200,'County Report'!A28,'SERVICE ENTRY'!$BH$4:$BH$1200,{"0-30 days","31-60 days","61-90 days","More than 90 days","Unknown"}))</f>
        <v>0</v>
      </c>
      <c r="J28"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Report'!A28))+SUM(COUNTIFS('SERVICE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Report'!A28))+SUM(COUNTIFS('SERVICE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Report'!A28))</f>
        <v>0</v>
      </c>
      <c r="K28" s="91">
        <f>SUM(COUNTIFS('SERVICE ENTRY'!$AW$4:$AW$1200,{"Transportation","Interpretation/translation services","Co-pay/deductible assistance","Daily living expenses","Childcare"},'SERVICE ENTRY'!$C$4:$C$1200,'County Report'!A28))+SUM(COUNTIFS('SERVICE ENTRY'!$AX$4:$AX$1200,{"Transportation","Interpretation/translation services","Co-pay/deductible assistance","Daily living expenses","Childcare"},'SERVICE ENTRY'!$C$4:$C$1200,'County Report'!A28))+SUM(COUNTIFS('SERVICE ENTRY'!$AY$4:$AY$1200,{"Transportation","Interpretation/translation services","Co-pay/deductible assistance","Daily living expenses","Childcare"},'SERVICE ENTRY'!$C$4:$C$1200,'County Report'!A28))+SUM(COUNTIFS('SERVICE ENTRY'!$AZ$4:$AZ$1200,{"Transportation","Interpretation/translation services","Co-pay/deductible assistance","Daily living expenses","Childcare"},'SERVICE ENTRY'!$C$4:$C$1200,'County Report'!A28))+SUM(COUNTIFS('SERVICE ENTRY'!$BA$4:$BA$1200,{"Transportation","Interpretation/translation services","Co-pay/deductible assistance","Daily living expenses","Childcare"},'SERVICE ENTRY'!$C$4:$C$1200,'County Report'!A28))</f>
        <v>0</v>
      </c>
      <c r="L28" s="187"/>
    </row>
    <row r="29" spans="1:12" x14ac:dyDescent="0.25">
      <c r="A29" s="167" t="s">
        <v>650</v>
      </c>
      <c r="B29" s="91">
        <f>COUNTIF('SERVICE ENTRY'!$C$4:$C$1200,'County Report'!A29)</f>
        <v>0</v>
      </c>
      <c r="C29" s="124">
        <f>SUMIF('SERVICE ENTRY'!$C$4:$C$1200,'County Report'!A29,'SERVICE ENTRY'!$N$4:$N$1200)</f>
        <v>0</v>
      </c>
      <c r="D29" s="91">
        <f>SUM(COUNTIFS('SERVICE ENTRY'!$C$4:$C$1200,'County Report'!A29,'SERVICE ENTRY'!$AC$4:$AC$1200,{"Mammogram","Clinical breast exam","Genetic testing/counseling"}),COUNTIFS('SERVICE ENTRY'!$C$4:$C$1200,'County Report'!A29,'SERVICE ENTRY'!$AD$4:$AD$1200,{"Mammogram","Clinical breast exam","Genetic testing/counseling"}))</f>
        <v>0</v>
      </c>
      <c r="E29" s="91">
        <f>COUNTIFS('SERVICE ENTRY'!$C$4:$C$1200,'County Report'!A29,'SERVICE ENTRY'!$BB$4:$BB$1200,"0-30 days")+COUNTIFS('SERVICE ENTRY'!$C$4:$C$1200,'County Report'!A29,'SERVICE ENTRY'!$BB$4:$BB$1200,"31-60 days")+COUNTIFS('SERVICE ENTRY'!$C$4:$C$1200,'County Report'!A29,'SERVICE ENTRY'!$BB$4:$BB$1200,"61-90 days")++COUNTIFS('SERVICE ENTRY'!$C$4:$C$1200,'County Report'!A29,'SERVICE ENTRY'!$BB$4:$BB$1200,"More than 90 days")+COUNTIFS('SERVICE ENTRY'!$C$4:$C$1200,'County Report'!A29,'SERVICE ENTRY'!$BB$4:$BB$1200,"Unknown")</f>
        <v>0</v>
      </c>
      <c r="F29" s="91">
        <f>SUM(COUNTIFS('SERVICE ENTRY'!$AJ$4:$AJ$1200,{"Diagnostic mammogram","Breast ultrasound","Biopsy","Breast MRI","Genomic testing to guide treatment"},'SERVICE ENTRY'!$C$4:$C$1200,'County Report'!A29))+SUM(COUNTIFS('SERVICE ENTRY'!$AK$4:$AK$1200,{"Diagnostic mammogram","Breast ultrasound","Biopsy","Breast MRI","Genomic testing to guide treatment"},'SERVICE ENTRY'!$C$4:$C$1200,'County Report'!A29))</f>
        <v>0</v>
      </c>
      <c r="G29" s="239">
        <f>SUM(COUNTIFS('SERVICE ENTRY'!$C$4:$C$1200,'County Report'!A29,'SERVICE ENTRY'!$BE$4:$BE$1200,{"0-30 days","31-60 days","61-90 days","More than 90 days","Unknown"}))</f>
        <v>0</v>
      </c>
      <c r="H29" s="91">
        <f>SUM(COUNTIFS('SERVICE ENTRY'!$AP$4:$AP$1200,{"Chemotherapy","Radiation therapy","Surgery","Hormone therapy","Targeted Therapy"},'SERVICE ENTRY'!$C$4:$C$1200,'County Report'!A29))+SUM(COUNTIFS('SERVICE ENTRY'!$AQ$4:$AQ$1200,{"Chemotherapy","Radiation therapy","Surgery","Hormone therapy","Targeted Therapy"},'SERVICE ENTRY'!$C$4:$C$1200,'County Report'!A29))+SUM(COUNTIFS('SERVICE ENTRY'!$AR$4:$AR$1200,{"Chemotherapy","Radiation therapy","Surgery","Hormone therapy","Targeted Therapy"},'SERVICE ENTRY'!$C$4:$C$1200,'County Report'!A29))</f>
        <v>0</v>
      </c>
      <c r="I29" s="91">
        <f>SUM(COUNTIFS('SERVICE ENTRY'!$C$4:$C$1200,'County Report'!A29,'SERVICE ENTRY'!$BH$4:$BH$1200,{"0-30 days","31-60 days","61-90 days","More than 90 days","Unknown"}))</f>
        <v>0</v>
      </c>
      <c r="J29"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Report'!A29))+SUM(COUNTIFS('SERVICE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Report'!A29))+SUM(COUNTIFS('SERVICE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Report'!A29))</f>
        <v>0</v>
      </c>
      <c r="K29" s="91">
        <f>SUM(COUNTIFS('SERVICE ENTRY'!$AW$4:$AW$1200,{"Transportation","Interpretation/translation services","Co-pay/deductible assistance","Daily living expenses","Childcare"},'SERVICE ENTRY'!$C$4:$C$1200,'County Report'!A29))+SUM(COUNTIFS('SERVICE ENTRY'!$AX$4:$AX$1200,{"Transportation","Interpretation/translation services","Co-pay/deductible assistance","Daily living expenses","Childcare"},'SERVICE ENTRY'!$C$4:$C$1200,'County Report'!A29))+SUM(COUNTIFS('SERVICE ENTRY'!$AY$4:$AY$1200,{"Transportation","Interpretation/translation services","Co-pay/deductible assistance","Daily living expenses","Childcare"},'SERVICE ENTRY'!$C$4:$C$1200,'County Report'!A29))+SUM(COUNTIFS('SERVICE ENTRY'!$AZ$4:$AZ$1200,{"Transportation","Interpretation/translation services","Co-pay/deductible assistance","Daily living expenses","Childcare"},'SERVICE ENTRY'!$C$4:$C$1200,'County Report'!A29))+SUM(COUNTIFS('SERVICE ENTRY'!$BA$4:$BA$1200,{"Transportation","Interpretation/translation services","Co-pay/deductible assistance","Daily living expenses","Childcare"},'SERVICE ENTRY'!$C$4:$C$1200,'County Report'!A29))</f>
        <v>0</v>
      </c>
      <c r="L29" s="187"/>
    </row>
    <row r="30" spans="1:12" x14ac:dyDescent="0.25">
      <c r="A30" s="167" t="s">
        <v>651</v>
      </c>
      <c r="B30" s="91">
        <f>COUNTIF('SERVICE ENTRY'!$C$4:$C$1200,'County Report'!A30)</f>
        <v>0</v>
      </c>
      <c r="C30" s="124">
        <f>SUMIF('SERVICE ENTRY'!$C$4:$C$1200,'County Report'!A30,'SERVICE ENTRY'!$N$4:$N$1200)</f>
        <v>0</v>
      </c>
      <c r="D30" s="91">
        <f>SUM(COUNTIFS('SERVICE ENTRY'!$C$4:$C$1200,'County Report'!A30,'SERVICE ENTRY'!$AC$4:$AC$1200,{"Mammogram","Clinical breast exam","Genetic testing/counseling"}),COUNTIFS('SERVICE ENTRY'!$C$4:$C$1200,'County Report'!A30,'SERVICE ENTRY'!$AD$4:$AD$1200,{"Mammogram","Clinical breast exam","Genetic testing/counseling"}))</f>
        <v>0</v>
      </c>
      <c r="E30" s="91">
        <f>COUNTIFS('SERVICE ENTRY'!$C$4:$C$1200,'County Report'!A30,'SERVICE ENTRY'!$BB$4:$BB$1200,"0-30 days")+COUNTIFS('SERVICE ENTRY'!$C$4:$C$1200,'County Report'!A30,'SERVICE ENTRY'!$BB$4:$BB$1200,"31-60 days")+COUNTIFS('SERVICE ENTRY'!$C$4:$C$1200,'County Report'!A30,'SERVICE ENTRY'!$BB$4:$BB$1200,"61-90 days")++COUNTIFS('SERVICE ENTRY'!$C$4:$C$1200,'County Report'!A30,'SERVICE ENTRY'!$BB$4:$BB$1200,"More than 90 days")+COUNTIFS('SERVICE ENTRY'!$C$4:$C$1200,'County Report'!A30,'SERVICE ENTRY'!$BB$4:$BB$1200,"Unknown")</f>
        <v>0</v>
      </c>
      <c r="F30" s="91">
        <f>SUM(COUNTIFS('SERVICE ENTRY'!$AJ$4:$AJ$1200,{"Diagnostic mammogram","Breast ultrasound","Biopsy","Breast MRI","Genomic testing to guide treatment"},'SERVICE ENTRY'!$C$4:$C$1200,'County Report'!A30))+SUM(COUNTIFS('SERVICE ENTRY'!$AK$4:$AK$1200,{"Diagnostic mammogram","Breast ultrasound","Biopsy","Breast MRI","Genomic testing to guide treatment"},'SERVICE ENTRY'!$C$4:$C$1200,'County Report'!A30))</f>
        <v>0</v>
      </c>
      <c r="G30" s="239">
        <f>SUM(COUNTIFS('SERVICE ENTRY'!$C$4:$C$1200,'County Report'!A30,'SERVICE ENTRY'!$BE$4:$BE$1200,{"0-30 days","31-60 days","61-90 days","More than 90 days","Unknown"}))</f>
        <v>0</v>
      </c>
      <c r="H30" s="91">
        <f>SUM(COUNTIFS('SERVICE ENTRY'!$AP$4:$AP$1200,{"Chemotherapy","Radiation therapy","Surgery","Hormone therapy","Targeted Therapy"},'SERVICE ENTRY'!$C$4:$C$1200,'County Report'!A30))+SUM(COUNTIFS('SERVICE ENTRY'!$AQ$4:$AQ$1200,{"Chemotherapy","Radiation therapy","Surgery","Hormone therapy","Targeted Therapy"},'SERVICE ENTRY'!$C$4:$C$1200,'County Report'!A30))+SUM(COUNTIFS('SERVICE ENTRY'!$AR$4:$AR$1200,{"Chemotherapy","Radiation therapy","Surgery","Hormone therapy","Targeted Therapy"},'SERVICE ENTRY'!$C$4:$C$1200,'County Report'!A30))</f>
        <v>0</v>
      </c>
      <c r="I30" s="91">
        <f>SUM(COUNTIFS('SERVICE ENTRY'!$C$4:$C$1200,'County Report'!A30,'SERVICE ENTRY'!$BH$4:$BH$1200,{"0-30 days","31-60 days","61-90 days","More than 90 days","Unknown"}))</f>
        <v>0</v>
      </c>
      <c r="J30"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Report'!A30))+SUM(COUNTIFS('SERVICE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Report'!A30))+SUM(COUNTIFS('SERVICE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Report'!A30))</f>
        <v>0</v>
      </c>
      <c r="K30" s="91">
        <f>SUM(COUNTIFS('SERVICE ENTRY'!$AW$4:$AW$1200,{"Transportation","Interpretation/translation services","Co-pay/deductible assistance","Daily living expenses","Childcare"},'SERVICE ENTRY'!$C$4:$C$1200,'County Report'!A30))+SUM(COUNTIFS('SERVICE ENTRY'!$AX$4:$AX$1200,{"Transportation","Interpretation/translation services","Co-pay/deductible assistance","Daily living expenses","Childcare"},'SERVICE ENTRY'!$C$4:$C$1200,'County Report'!A30))+SUM(COUNTIFS('SERVICE ENTRY'!$AY$4:$AY$1200,{"Transportation","Interpretation/translation services","Co-pay/deductible assistance","Daily living expenses","Childcare"},'SERVICE ENTRY'!$C$4:$C$1200,'County Report'!A30))+SUM(COUNTIFS('SERVICE ENTRY'!$AZ$4:$AZ$1200,{"Transportation","Interpretation/translation services","Co-pay/deductible assistance","Daily living expenses","Childcare"},'SERVICE ENTRY'!$C$4:$C$1200,'County Report'!A30))+SUM(COUNTIFS('SERVICE ENTRY'!$BA$4:$BA$1200,{"Transportation","Interpretation/translation services","Co-pay/deductible assistance","Daily living expenses","Childcare"},'SERVICE ENTRY'!$C$4:$C$1200,'County Report'!A30))</f>
        <v>0</v>
      </c>
      <c r="L30" s="187"/>
    </row>
    <row r="31" spans="1:12" x14ac:dyDescent="0.25">
      <c r="A31" s="167" t="s">
        <v>652</v>
      </c>
      <c r="B31" s="91">
        <f>COUNTIF('SERVICE ENTRY'!$C$4:$C$1200,'County Report'!A31)</f>
        <v>0</v>
      </c>
      <c r="C31" s="124">
        <f>SUMIF('SERVICE ENTRY'!$C$4:$C$1200,'County Report'!A31,'SERVICE ENTRY'!$N$4:$N$1200)</f>
        <v>0</v>
      </c>
      <c r="D31" s="91">
        <f>SUM(COUNTIFS('SERVICE ENTRY'!$C$4:$C$1200,'County Report'!A31,'SERVICE ENTRY'!$AC$4:$AC$1200,{"Mammogram","Clinical breast exam","Genetic testing/counseling"}),COUNTIFS('SERVICE ENTRY'!$C$4:$C$1200,'County Report'!A31,'SERVICE ENTRY'!$AD$4:$AD$1200,{"Mammogram","Clinical breast exam","Genetic testing/counseling"}))</f>
        <v>0</v>
      </c>
      <c r="E31" s="91">
        <f>COUNTIFS('SERVICE ENTRY'!$C$4:$C$1200,'County Report'!A31,'SERVICE ENTRY'!$BB$4:$BB$1200,"0-30 days")+COUNTIFS('SERVICE ENTRY'!$C$4:$C$1200,'County Report'!A31,'SERVICE ENTRY'!$BB$4:$BB$1200,"31-60 days")+COUNTIFS('SERVICE ENTRY'!$C$4:$C$1200,'County Report'!A31,'SERVICE ENTRY'!$BB$4:$BB$1200,"61-90 days")++COUNTIFS('SERVICE ENTRY'!$C$4:$C$1200,'County Report'!A31,'SERVICE ENTRY'!$BB$4:$BB$1200,"More than 90 days")+COUNTIFS('SERVICE ENTRY'!$C$4:$C$1200,'County Report'!A31,'SERVICE ENTRY'!$BB$4:$BB$1200,"Unknown")</f>
        <v>0</v>
      </c>
      <c r="F31" s="91">
        <f>SUM(COUNTIFS('SERVICE ENTRY'!$AJ$4:$AJ$1200,{"Diagnostic mammogram","Breast ultrasound","Biopsy","Breast MRI","Genomic testing to guide treatment"},'SERVICE ENTRY'!$C$4:$C$1200,'County Report'!A31))+SUM(COUNTIFS('SERVICE ENTRY'!$AK$4:$AK$1200,{"Diagnostic mammogram","Breast ultrasound","Biopsy","Breast MRI","Genomic testing to guide treatment"},'SERVICE ENTRY'!$C$4:$C$1200,'County Report'!A31))</f>
        <v>0</v>
      </c>
      <c r="G31" s="239">
        <f>SUM(COUNTIFS('SERVICE ENTRY'!$C$4:$C$1200,'County Report'!A31,'SERVICE ENTRY'!$BE$4:$BE$1200,{"0-30 days","31-60 days","61-90 days","More than 90 days","Unknown"}))</f>
        <v>0</v>
      </c>
      <c r="H31" s="91">
        <f>SUM(COUNTIFS('SERVICE ENTRY'!$AP$4:$AP$1200,{"Chemotherapy","Radiation therapy","Surgery","Hormone therapy","Targeted Therapy"},'SERVICE ENTRY'!$C$4:$C$1200,'County Report'!A31))+SUM(COUNTIFS('SERVICE ENTRY'!$AQ$4:$AQ$1200,{"Chemotherapy","Radiation therapy","Surgery","Hormone therapy","Targeted Therapy"},'SERVICE ENTRY'!$C$4:$C$1200,'County Report'!A31))+SUM(COUNTIFS('SERVICE ENTRY'!$AR$4:$AR$1200,{"Chemotherapy","Radiation therapy","Surgery","Hormone therapy","Targeted Therapy"},'SERVICE ENTRY'!$C$4:$C$1200,'County Report'!A31))</f>
        <v>0</v>
      </c>
      <c r="I31" s="91">
        <f>SUM(COUNTIFS('SERVICE ENTRY'!$C$4:$C$1200,'County Report'!A31,'SERVICE ENTRY'!$BH$4:$BH$1200,{"0-30 days","31-60 days","61-90 days","More than 90 days","Unknown"}))</f>
        <v>0</v>
      </c>
      <c r="J31"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Report'!A31))+SUM(COUNTIFS('SERVICE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Report'!A31))+SUM(COUNTIFS('SERVICE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Report'!A31))</f>
        <v>0</v>
      </c>
      <c r="K31" s="91">
        <f>SUM(COUNTIFS('SERVICE ENTRY'!$AW$4:$AW$1200,{"Transportation","Interpretation/translation services","Co-pay/deductible assistance","Daily living expenses","Childcare"},'SERVICE ENTRY'!$C$4:$C$1200,'County Report'!A31))+SUM(COUNTIFS('SERVICE ENTRY'!$AX$4:$AX$1200,{"Transportation","Interpretation/translation services","Co-pay/deductible assistance","Daily living expenses","Childcare"},'SERVICE ENTRY'!$C$4:$C$1200,'County Report'!A31))+SUM(COUNTIFS('SERVICE ENTRY'!$AY$4:$AY$1200,{"Transportation","Interpretation/translation services","Co-pay/deductible assistance","Daily living expenses","Childcare"},'SERVICE ENTRY'!$C$4:$C$1200,'County Report'!A31))+SUM(COUNTIFS('SERVICE ENTRY'!$AZ$4:$AZ$1200,{"Transportation","Interpretation/translation services","Co-pay/deductible assistance","Daily living expenses","Childcare"},'SERVICE ENTRY'!$C$4:$C$1200,'County Report'!A31))+SUM(COUNTIFS('SERVICE ENTRY'!$BA$4:$BA$1200,{"Transportation","Interpretation/translation services","Co-pay/deductible assistance","Daily living expenses","Childcare"},'SERVICE ENTRY'!$C$4:$C$1200,'County Report'!A31))</f>
        <v>0</v>
      </c>
      <c r="L31" s="187"/>
    </row>
    <row r="32" spans="1:12" x14ac:dyDescent="0.25">
      <c r="A32" s="167" t="s">
        <v>653</v>
      </c>
      <c r="B32" s="91">
        <f>COUNTIF('SERVICE ENTRY'!$C$4:$C$1200,'County Report'!A32)</f>
        <v>0</v>
      </c>
      <c r="C32" s="124">
        <f>SUMIF('SERVICE ENTRY'!$C$4:$C$1200,'County Report'!A32,'SERVICE ENTRY'!$N$4:$N$1200)</f>
        <v>0</v>
      </c>
      <c r="D32" s="91">
        <f>SUM(COUNTIFS('SERVICE ENTRY'!$C$4:$C$1200,'County Report'!A32,'SERVICE ENTRY'!$AC$4:$AC$1200,{"Mammogram","Clinical breast exam","Genetic testing/counseling"}),COUNTIFS('SERVICE ENTRY'!$C$4:$C$1200,'County Report'!A32,'SERVICE ENTRY'!$AD$4:$AD$1200,{"Mammogram","Clinical breast exam","Genetic testing/counseling"}))</f>
        <v>0</v>
      </c>
      <c r="E32" s="91">
        <f>COUNTIFS('SERVICE ENTRY'!$C$4:$C$1200,'County Report'!A32,'SERVICE ENTRY'!$BB$4:$BB$1200,"0-30 days")+COUNTIFS('SERVICE ENTRY'!$C$4:$C$1200,'County Report'!A32,'SERVICE ENTRY'!$BB$4:$BB$1200,"31-60 days")+COUNTIFS('SERVICE ENTRY'!$C$4:$C$1200,'County Report'!A32,'SERVICE ENTRY'!$BB$4:$BB$1200,"61-90 days")++COUNTIFS('SERVICE ENTRY'!$C$4:$C$1200,'County Report'!A32,'SERVICE ENTRY'!$BB$4:$BB$1200,"More than 90 days")+COUNTIFS('SERVICE ENTRY'!$C$4:$C$1200,'County Report'!A32,'SERVICE ENTRY'!$BB$4:$BB$1200,"Unknown")</f>
        <v>0</v>
      </c>
      <c r="F32" s="91">
        <f>SUM(COUNTIFS('SERVICE ENTRY'!$AJ$4:$AJ$1200,{"Diagnostic mammogram","Breast ultrasound","Biopsy","Breast MRI","Genomic testing to guide treatment"},'SERVICE ENTRY'!$C$4:$C$1200,'County Report'!A32))+SUM(COUNTIFS('SERVICE ENTRY'!$AK$4:$AK$1200,{"Diagnostic mammogram","Breast ultrasound","Biopsy","Breast MRI","Genomic testing to guide treatment"},'SERVICE ENTRY'!$C$4:$C$1200,'County Report'!A32))</f>
        <v>0</v>
      </c>
      <c r="G32" s="239">
        <f>SUM(COUNTIFS('SERVICE ENTRY'!$C$4:$C$1200,'County Report'!A32,'SERVICE ENTRY'!$BE$4:$BE$1200,{"0-30 days","31-60 days","61-90 days","More than 90 days","Unknown"}))</f>
        <v>0</v>
      </c>
      <c r="H32" s="91">
        <f>SUM(COUNTIFS('SERVICE ENTRY'!$AP$4:$AP$1200,{"Chemotherapy","Radiation therapy","Surgery","Hormone therapy","Targeted Therapy"},'SERVICE ENTRY'!$C$4:$C$1200,'County Report'!A32))+SUM(COUNTIFS('SERVICE ENTRY'!$AQ$4:$AQ$1200,{"Chemotherapy","Radiation therapy","Surgery","Hormone therapy","Targeted Therapy"},'SERVICE ENTRY'!$C$4:$C$1200,'County Report'!A32))+SUM(COUNTIFS('SERVICE ENTRY'!$AR$4:$AR$1200,{"Chemotherapy","Radiation therapy","Surgery","Hormone therapy","Targeted Therapy"},'SERVICE ENTRY'!$C$4:$C$1200,'County Report'!A32))</f>
        <v>0</v>
      </c>
      <c r="I32" s="91">
        <f>SUM(COUNTIFS('SERVICE ENTRY'!$C$4:$C$1200,'County Report'!A32,'SERVICE ENTRY'!$BH$4:$BH$1200,{"0-30 days","31-60 days","61-90 days","More than 90 days","Unknown"}))</f>
        <v>0</v>
      </c>
      <c r="J32"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Report'!A32))+SUM(COUNTIFS('SERVICE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Report'!A32))+SUM(COUNTIFS('SERVICE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Report'!A32))</f>
        <v>0</v>
      </c>
      <c r="K32" s="91">
        <f>SUM(COUNTIFS('SERVICE ENTRY'!$AW$4:$AW$1200,{"Transportation","Interpretation/translation services","Co-pay/deductible assistance","Daily living expenses","Childcare"},'SERVICE ENTRY'!$C$4:$C$1200,'County Report'!A32))+SUM(COUNTIFS('SERVICE ENTRY'!$AX$4:$AX$1200,{"Transportation","Interpretation/translation services","Co-pay/deductible assistance","Daily living expenses","Childcare"},'SERVICE ENTRY'!$C$4:$C$1200,'County Report'!A32))+SUM(COUNTIFS('SERVICE ENTRY'!$AY$4:$AY$1200,{"Transportation","Interpretation/translation services","Co-pay/deductible assistance","Daily living expenses","Childcare"},'SERVICE ENTRY'!$C$4:$C$1200,'County Report'!A32))+SUM(COUNTIFS('SERVICE ENTRY'!$AZ$4:$AZ$1200,{"Transportation","Interpretation/translation services","Co-pay/deductible assistance","Daily living expenses","Childcare"},'SERVICE ENTRY'!$C$4:$C$1200,'County Report'!A32))+SUM(COUNTIFS('SERVICE ENTRY'!$BA$4:$BA$1200,{"Transportation","Interpretation/translation services","Co-pay/deductible assistance","Daily living expenses","Childcare"},'SERVICE ENTRY'!$C$4:$C$1200,'County Report'!A32))</f>
        <v>0</v>
      </c>
      <c r="L32" s="187"/>
    </row>
    <row r="33" spans="1:12" x14ac:dyDescent="0.25">
      <c r="A33" s="167" t="s">
        <v>654</v>
      </c>
      <c r="B33" s="91">
        <f>COUNTIF('SERVICE ENTRY'!$C$4:$C$1200,'County Report'!A33)</f>
        <v>0</v>
      </c>
      <c r="C33" s="124">
        <f>SUMIF('SERVICE ENTRY'!$C$4:$C$1200,'County Report'!A33,'SERVICE ENTRY'!$N$4:$N$1200)</f>
        <v>0</v>
      </c>
      <c r="D33" s="91">
        <f>SUM(COUNTIFS('SERVICE ENTRY'!$C$4:$C$1200,'County Report'!A33,'SERVICE ENTRY'!$AC$4:$AC$1200,{"Mammogram","Clinical breast exam","Genetic testing/counseling"}),COUNTIFS('SERVICE ENTRY'!$C$4:$C$1200,'County Report'!A33,'SERVICE ENTRY'!$AD$4:$AD$1200,{"Mammogram","Clinical breast exam","Genetic testing/counseling"}))</f>
        <v>0</v>
      </c>
      <c r="E33" s="91">
        <f>COUNTIFS('SERVICE ENTRY'!$C$4:$C$1200,'County Report'!A33,'SERVICE ENTRY'!$BB$4:$BB$1200,"0-30 days")+COUNTIFS('SERVICE ENTRY'!$C$4:$C$1200,'County Report'!A33,'SERVICE ENTRY'!$BB$4:$BB$1200,"31-60 days")+COUNTIFS('SERVICE ENTRY'!$C$4:$C$1200,'County Report'!A33,'SERVICE ENTRY'!$BB$4:$BB$1200,"61-90 days")++COUNTIFS('SERVICE ENTRY'!$C$4:$C$1200,'County Report'!A33,'SERVICE ENTRY'!$BB$4:$BB$1200,"More than 90 days")+COUNTIFS('SERVICE ENTRY'!$C$4:$C$1200,'County Report'!A33,'SERVICE ENTRY'!$BB$4:$BB$1200,"Unknown")</f>
        <v>0</v>
      </c>
      <c r="F33" s="91">
        <f>SUM(COUNTIFS('SERVICE ENTRY'!$AJ$4:$AJ$1200,{"Diagnostic mammogram","Breast ultrasound","Biopsy","Breast MRI","Genomic testing to guide treatment"},'SERVICE ENTRY'!$C$4:$C$1200,'County Report'!A33))+SUM(COUNTIFS('SERVICE ENTRY'!$AK$4:$AK$1200,{"Diagnostic mammogram","Breast ultrasound","Biopsy","Breast MRI","Genomic testing to guide treatment"},'SERVICE ENTRY'!$C$4:$C$1200,'County Report'!A33))</f>
        <v>0</v>
      </c>
      <c r="G33" s="239">
        <f>SUM(COUNTIFS('SERVICE ENTRY'!$C$4:$C$1200,'County Report'!A33,'SERVICE ENTRY'!$BE$4:$BE$1200,{"0-30 days","31-60 days","61-90 days","More than 90 days","Unknown"}))</f>
        <v>0</v>
      </c>
      <c r="H33" s="91">
        <f>SUM(COUNTIFS('SERVICE ENTRY'!$AP$4:$AP$1200,{"Chemotherapy","Radiation therapy","Surgery","Hormone therapy","Targeted Therapy"},'SERVICE ENTRY'!$C$4:$C$1200,'County Report'!A33))+SUM(COUNTIFS('SERVICE ENTRY'!$AQ$4:$AQ$1200,{"Chemotherapy","Radiation therapy","Surgery","Hormone therapy","Targeted Therapy"},'SERVICE ENTRY'!$C$4:$C$1200,'County Report'!A33))+SUM(COUNTIFS('SERVICE ENTRY'!$AR$4:$AR$1200,{"Chemotherapy","Radiation therapy","Surgery","Hormone therapy","Targeted Therapy"},'SERVICE ENTRY'!$C$4:$C$1200,'County Report'!A33))</f>
        <v>0</v>
      </c>
      <c r="I33" s="91">
        <f>SUM(COUNTIFS('SERVICE ENTRY'!$C$4:$C$1200,'County Report'!A33,'SERVICE ENTRY'!$BH$4:$BH$1200,{"0-30 days","31-60 days","61-90 days","More than 90 days","Unknown"}))</f>
        <v>0</v>
      </c>
      <c r="J33"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Report'!A33))+SUM(COUNTIFS('SERVICE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Report'!A33))+SUM(COUNTIFS('SERVICE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Report'!A33))</f>
        <v>0</v>
      </c>
      <c r="K33" s="91">
        <f>SUM(COUNTIFS('SERVICE ENTRY'!$AW$4:$AW$1200,{"Transportation","Interpretation/translation services","Co-pay/deductible assistance","Daily living expenses","Childcare"},'SERVICE ENTRY'!$C$4:$C$1200,'County Report'!A33))+SUM(COUNTIFS('SERVICE ENTRY'!$AX$4:$AX$1200,{"Transportation","Interpretation/translation services","Co-pay/deductible assistance","Daily living expenses","Childcare"},'SERVICE ENTRY'!$C$4:$C$1200,'County Report'!A33))+SUM(COUNTIFS('SERVICE ENTRY'!$AY$4:$AY$1200,{"Transportation","Interpretation/translation services","Co-pay/deductible assistance","Daily living expenses","Childcare"},'SERVICE ENTRY'!$C$4:$C$1200,'County Report'!A33))+SUM(COUNTIFS('SERVICE ENTRY'!$AZ$4:$AZ$1200,{"Transportation","Interpretation/translation services","Co-pay/deductible assistance","Daily living expenses","Childcare"},'SERVICE ENTRY'!$C$4:$C$1200,'County Report'!A33))+SUM(COUNTIFS('SERVICE ENTRY'!$BA$4:$BA$1200,{"Transportation","Interpretation/translation services","Co-pay/deductible assistance","Daily living expenses","Childcare"},'SERVICE ENTRY'!$C$4:$C$1200,'County Report'!A33))</f>
        <v>0</v>
      </c>
      <c r="L33" s="187"/>
    </row>
    <row r="34" spans="1:12" x14ac:dyDescent="0.25">
      <c r="A34" s="167" t="s">
        <v>655</v>
      </c>
      <c r="B34" s="91">
        <f>COUNTIF('SERVICE ENTRY'!$C$4:$C$1200,'County Report'!A34)</f>
        <v>0</v>
      </c>
      <c r="C34" s="124">
        <f>SUMIF('SERVICE ENTRY'!$C$4:$C$1200,'County Report'!A34,'SERVICE ENTRY'!$N$4:$N$1200)</f>
        <v>0</v>
      </c>
      <c r="D34" s="91">
        <f>SUM(COUNTIFS('SERVICE ENTRY'!$C$4:$C$1200,'County Report'!A34,'SERVICE ENTRY'!$AC$4:$AC$1200,{"Mammogram","Clinical breast exam","Genetic testing/counseling"}),COUNTIFS('SERVICE ENTRY'!$C$4:$C$1200,'County Report'!A34,'SERVICE ENTRY'!$AD$4:$AD$1200,{"Mammogram","Clinical breast exam","Genetic testing/counseling"}))</f>
        <v>0</v>
      </c>
      <c r="E34" s="91">
        <f>COUNTIFS('SERVICE ENTRY'!$C$4:$C$1200,'County Report'!A34,'SERVICE ENTRY'!$BB$4:$BB$1200,"0-30 days")+COUNTIFS('SERVICE ENTRY'!$C$4:$C$1200,'County Report'!A34,'SERVICE ENTRY'!$BB$4:$BB$1200,"31-60 days")+COUNTIFS('SERVICE ENTRY'!$C$4:$C$1200,'County Report'!A34,'SERVICE ENTRY'!$BB$4:$BB$1200,"61-90 days")++COUNTIFS('SERVICE ENTRY'!$C$4:$C$1200,'County Report'!A34,'SERVICE ENTRY'!$BB$4:$BB$1200,"More than 90 days")+COUNTIFS('SERVICE ENTRY'!$C$4:$C$1200,'County Report'!A34,'SERVICE ENTRY'!$BB$4:$BB$1200,"Unknown")</f>
        <v>0</v>
      </c>
      <c r="F34" s="91">
        <f>SUM(COUNTIFS('SERVICE ENTRY'!$AJ$4:$AJ$1200,{"Diagnostic mammogram","Breast ultrasound","Biopsy","Breast MRI","Genomic testing to guide treatment"},'SERVICE ENTRY'!$C$4:$C$1200,'County Report'!A34))+SUM(COUNTIFS('SERVICE ENTRY'!$AK$4:$AK$1200,{"Diagnostic mammogram","Breast ultrasound","Biopsy","Breast MRI","Genomic testing to guide treatment"},'SERVICE ENTRY'!$C$4:$C$1200,'County Report'!A34))</f>
        <v>0</v>
      </c>
      <c r="G34" s="239">
        <f>SUM(COUNTIFS('SERVICE ENTRY'!$C$4:$C$1200,'County Report'!A34,'SERVICE ENTRY'!$BE$4:$BE$1200,{"0-30 days","31-60 days","61-90 days","More than 90 days","Unknown"}))</f>
        <v>0</v>
      </c>
      <c r="H34" s="91">
        <f>SUM(COUNTIFS('SERVICE ENTRY'!$AP$4:$AP$1200,{"Chemotherapy","Radiation therapy","Surgery","Hormone therapy","Targeted Therapy"},'SERVICE ENTRY'!$C$4:$C$1200,'County Report'!A34))+SUM(COUNTIFS('SERVICE ENTRY'!$AQ$4:$AQ$1200,{"Chemotherapy","Radiation therapy","Surgery","Hormone therapy","Targeted Therapy"},'SERVICE ENTRY'!$C$4:$C$1200,'County Report'!A34))+SUM(COUNTIFS('SERVICE ENTRY'!$AR$4:$AR$1200,{"Chemotherapy","Radiation therapy","Surgery","Hormone therapy","Targeted Therapy"},'SERVICE ENTRY'!$C$4:$C$1200,'County Report'!A34))</f>
        <v>0</v>
      </c>
      <c r="I34" s="91">
        <f>SUM(COUNTIFS('SERVICE ENTRY'!$C$4:$C$1200,'County Report'!A34,'SERVICE ENTRY'!$BH$4:$BH$1200,{"0-30 days","31-60 days","61-90 days","More than 90 days","Unknown"}))</f>
        <v>0</v>
      </c>
      <c r="J34"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Report'!A34))+SUM(COUNTIFS('SERVICE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Report'!A34))+SUM(COUNTIFS('SERVICE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Report'!A34))</f>
        <v>0</v>
      </c>
      <c r="K34" s="91">
        <f>SUM(COUNTIFS('SERVICE ENTRY'!$AW$4:$AW$1200,{"Transportation","Interpretation/translation services","Co-pay/deductible assistance","Daily living expenses","Childcare"},'SERVICE ENTRY'!$C$4:$C$1200,'County Report'!A34))+SUM(COUNTIFS('SERVICE ENTRY'!$AX$4:$AX$1200,{"Transportation","Interpretation/translation services","Co-pay/deductible assistance","Daily living expenses","Childcare"},'SERVICE ENTRY'!$C$4:$C$1200,'County Report'!A34))+SUM(COUNTIFS('SERVICE ENTRY'!$AY$4:$AY$1200,{"Transportation","Interpretation/translation services","Co-pay/deductible assistance","Daily living expenses","Childcare"},'SERVICE ENTRY'!$C$4:$C$1200,'County Report'!A34))+SUM(COUNTIFS('SERVICE ENTRY'!$AZ$4:$AZ$1200,{"Transportation","Interpretation/translation services","Co-pay/deductible assistance","Daily living expenses","Childcare"},'SERVICE ENTRY'!$C$4:$C$1200,'County Report'!A34))+SUM(COUNTIFS('SERVICE ENTRY'!$BA$4:$BA$1200,{"Transportation","Interpretation/translation services","Co-pay/deductible assistance","Daily living expenses","Childcare"},'SERVICE ENTRY'!$C$4:$C$1200,'County Report'!A34))</f>
        <v>0</v>
      </c>
      <c r="L34" s="187"/>
    </row>
    <row r="35" spans="1:12" x14ac:dyDescent="0.25">
      <c r="A35" s="167" t="s">
        <v>656</v>
      </c>
      <c r="B35" s="91">
        <f>COUNTIF('SERVICE ENTRY'!$C$4:$C$1200,'County Report'!A35)</f>
        <v>0</v>
      </c>
      <c r="C35" s="124">
        <f>SUMIF('SERVICE ENTRY'!$C$4:$C$1200,'County Report'!A35,'SERVICE ENTRY'!$N$4:$N$1200)</f>
        <v>0</v>
      </c>
      <c r="D35" s="91">
        <f>SUM(COUNTIFS('SERVICE ENTRY'!$C$4:$C$1200,'County Report'!A35,'SERVICE ENTRY'!$AC$4:$AC$1200,{"Mammogram","Clinical breast exam","Genetic testing/counseling"}),COUNTIFS('SERVICE ENTRY'!$C$4:$C$1200,'County Report'!A35,'SERVICE ENTRY'!$AD$4:$AD$1200,{"Mammogram","Clinical breast exam","Genetic testing/counseling"}))</f>
        <v>0</v>
      </c>
      <c r="E35" s="91">
        <f>COUNTIFS('SERVICE ENTRY'!$C$4:$C$1200,'County Report'!A35,'SERVICE ENTRY'!$BB$4:$BB$1200,"0-30 days")+COUNTIFS('SERVICE ENTRY'!$C$4:$C$1200,'County Report'!A35,'SERVICE ENTRY'!$BB$4:$BB$1200,"31-60 days")+COUNTIFS('SERVICE ENTRY'!$C$4:$C$1200,'County Report'!A35,'SERVICE ENTRY'!$BB$4:$BB$1200,"61-90 days")++COUNTIFS('SERVICE ENTRY'!$C$4:$C$1200,'County Report'!A35,'SERVICE ENTRY'!$BB$4:$BB$1200,"More than 90 days")+COUNTIFS('SERVICE ENTRY'!$C$4:$C$1200,'County Report'!A35,'SERVICE ENTRY'!$BB$4:$BB$1200,"Unknown")</f>
        <v>0</v>
      </c>
      <c r="F35" s="91">
        <f>SUM(COUNTIFS('SERVICE ENTRY'!$AJ$4:$AJ$1200,{"Diagnostic mammogram","Breast ultrasound","Biopsy","Breast MRI","Genomic testing to guide treatment"},'SERVICE ENTRY'!$C$4:$C$1200,'County Report'!A35))+SUM(COUNTIFS('SERVICE ENTRY'!$AK$4:$AK$1200,{"Diagnostic mammogram","Breast ultrasound","Biopsy","Breast MRI","Genomic testing to guide treatment"},'SERVICE ENTRY'!$C$4:$C$1200,'County Report'!A35))</f>
        <v>0</v>
      </c>
      <c r="G35" s="239">
        <f>SUM(COUNTIFS('SERVICE ENTRY'!$C$4:$C$1200,'County Report'!A35,'SERVICE ENTRY'!$BE$4:$BE$1200,{"0-30 days","31-60 days","61-90 days","More than 90 days","Unknown"}))</f>
        <v>0</v>
      </c>
      <c r="H35" s="91">
        <f>SUM(COUNTIFS('SERVICE ENTRY'!$AP$4:$AP$1200,{"Chemotherapy","Radiation therapy","Surgery","Hormone therapy","Targeted Therapy"},'SERVICE ENTRY'!$C$4:$C$1200,'County Report'!A35))+SUM(COUNTIFS('SERVICE ENTRY'!$AQ$4:$AQ$1200,{"Chemotherapy","Radiation therapy","Surgery","Hormone therapy","Targeted Therapy"},'SERVICE ENTRY'!$C$4:$C$1200,'County Report'!A35))+SUM(COUNTIFS('SERVICE ENTRY'!$AR$4:$AR$1200,{"Chemotherapy","Radiation therapy","Surgery","Hormone therapy","Targeted Therapy"},'SERVICE ENTRY'!$C$4:$C$1200,'County Report'!A35))</f>
        <v>0</v>
      </c>
      <c r="I35" s="91">
        <f>SUM(COUNTIFS('SERVICE ENTRY'!$C$4:$C$1200,'County Report'!A35,'SERVICE ENTRY'!$BH$4:$BH$1200,{"0-30 days","31-60 days","61-90 days","More than 90 days","Unknown"}))</f>
        <v>0</v>
      </c>
      <c r="J35"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Report'!A35))+SUM(COUNTIFS('SERVICE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Report'!A35))+SUM(COUNTIFS('SERVICE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Report'!A35))</f>
        <v>0</v>
      </c>
      <c r="K35" s="91">
        <f>SUM(COUNTIFS('SERVICE ENTRY'!$AW$4:$AW$1200,{"Transportation","Interpretation/translation services","Co-pay/deductible assistance","Daily living expenses","Childcare"},'SERVICE ENTRY'!$C$4:$C$1200,'County Report'!A35))+SUM(COUNTIFS('SERVICE ENTRY'!$AX$4:$AX$1200,{"Transportation","Interpretation/translation services","Co-pay/deductible assistance","Daily living expenses","Childcare"},'SERVICE ENTRY'!$C$4:$C$1200,'County Report'!A35))+SUM(COUNTIFS('SERVICE ENTRY'!$AY$4:$AY$1200,{"Transportation","Interpretation/translation services","Co-pay/deductible assistance","Daily living expenses","Childcare"},'SERVICE ENTRY'!$C$4:$C$1200,'County Report'!A35))+SUM(COUNTIFS('SERVICE ENTRY'!$AZ$4:$AZ$1200,{"Transportation","Interpretation/translation services","Co-pay/deductible assistance","Daily living expenses","Childcare"},'SERVICE ENTRY'!$C$4:$C$1200,'County Report'!A35))+SUM(COUNTIFS('SERVICE ENTRY'!$BA$4:$BA$1200,{"Transportation","Interpretation/translation services","Co-pay/deductible assistance","Daily living expenses","Childcare"},'SERVICE ENTRY'!$C$4:$C$1200,'County Report'!A35))</f>
        <v>0</v>
      </c>
      <c r="L35" s="187"/>
    </row>
    <row r="36" spans="1:12" x14ac:dyDescent="0.25">
      <c r="A36" s="167" t="s">
        <v>657</v>
      </c>
      <c r="B36" s="91">
        <f>COUNTIF('SERVICE ENTRY'!$C$4:$C$1200,'County Report'!A36)</f>
        <v>0</v>
      </c>
      <c r="C36" s="124">
        <f>SUMIF('SERVICE ENTRY'!$C$4:$C$1200,'County Report'!A36,'SERVICE ENTRY'!$N$4:$N$1200)</f>
        <v>0</v>
      </c>
      <c r="D36" s="91">
        <f>SUM(COUNTIFS('SERVICE ENTRY'!$C$4:$C$1200,'County Report'!A36,'SERVICE ENTRY'!$AC$4:$AC$1200,{"Mammogram","Clinical breast exam","Genetic testing/counseling"}),COUNTIFS('SERVICE ENTRY'!$C$4:$C$1200,'County Report'!A36,'SERVICE ENTRY'!$AD$4:$AD$1200,{"Mammogram","Clinical breast exam","Genetic testing/counseling"}))</f>
        <v>0</v>
      </c>
      <c r="E36" s="91">
        <f>COUNTIFS('SERVICE ENTRY'!$C$4:$C$1200,'County Report'!A36,'SERVICE ENTRY'!$BB$4:$BB$1200,"0-30 days")+COUNTIFS('SERVICE ENTRY'!$C$4:$C$1200,'County Report'!A36,'SERVICE ENTRY'!$BB$4:$BB$1200,"31-60 days")+COUNTIFS('SERVICE ENTRY'!$C$4:$C$1200,'County Report'!A36,'SERVICE ENTRY'!$BB$4:$BB$1200,"61-90 days")++COUNTIFS('SERVICE ENTRY'!$C$4:$C$1200,'County Report'!A36,'SERVICE ENTRY'!$BB$4:$BB$1200,"More than 90 days")+COUNTIFS('SERVICE ENTRY'!$C$4:$C$1200,'County Report'!A36,'SERVICE ENTRY'!$BB$4:$BB$1200,"Unknown")</f>
        <v>0</v>
      </c>
      <c r="F36" s="91">
        <f>SUM(COUNTIFS('SERVICE ENTRY'!$AJ$4:$AJ$1200,{"Diagnostic mammogram","Breast ultrasound","Biopsy","Breast MRI","Genomic testing to guide treatment"},'SERVICE ENTRY'!$C$4:$C$1200,'County Report'!A36))+SUM(COUNTIFS('SERVICE ENTRY'!$AK$4:$AK$1200,{"Diagnostic mammogram","Breast ultrasound","Biopsy","Breast MRI","Genomic testing to guide treatment"},'SERVICE ENTRY'!$C$4:$C$1200,'County Report'!A36))</f>
        <v>0</v>
      </c>
      <c r="G36" s="239">
        <f>SUM(COUNTIFS('SERVICE ENTRY'!$C$4:$C$1200,'County Report'!A36,'SERVICE ENTRY'!$BE$4:$BE$1200,{"0-30 days","31-60 days","61-90 days","More than 90 days","Unknown"}))</f>
        <v>0</v>
      </c>
      <c r="H36" s="91">
        <f>SUM(COUNTIFS('SERVICE ENTRY'!$AP$4:$AP$1200,{"Chemotherapy","Radiation therapy","Surgery","Hormone therapy","Targeted Therapy"},'SERVICE ENTRY'!$C$4:$C$1200,'County Report'!A36))+SUM(COUNTIFS('SERVICE ENTRY'!$AQ$4:$AQ$1200,{"Chemotherapy","Radiation therapy","Surgery","Hormone therapy","Targeted Therapy"},'SERVICE ENTRY'!$C$4:$C$1200,'County Report'!A36))+SUM(COUNTIFS('SERVICE ENTRY'!$AR$4:$AR$1200,{"Chemotherapy","Radiation therapy","Surgery","Hormone therapy","Targeted Therapy"},'SERVICE ENTRY'!$C$4:$C$1200,'County Report'!A36))</f>
        <v>0</v>
      </c>
      <c r="I36" s="91">
        <f>SUM(COUNTIFS('SERVICE ENTRY'!$C$4:$C$1200,'County Report'!A36,'SERVICE ENTRY'!$BH$4:$BH$1200,{"0-30 days","31-60 days","61-90 days","More than 90 days","Unknown"}))</f>
        <v>0</v>
      </c>
      <c r="J36"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Report'!A36))+SUM(COUNTIFS('SERVICE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Report'!A36))+SUM(COUNTIFS('SERVICE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Report'!A36))</f>
        <v>0</v>
      </c>
      <c r="K36" s="91">
        <f>SUM(COUNTIFS('SERVICE ENTRY'!$AW$4:$AW$1200,{"Transportation","Interpretation/translation services","Co-pay/deductible assistance","Daily living expenses","Childcare"},'SERVICE ENTRY'!$C$4:$C$1200,'County Report'!A36))+SUM(COUNTIFS('SERVICE ENTRY'!$AX$4:$AX$1200,{"Transportation","Interpretation/translation services","Co-pay/deductible assistance","Daily living expenses","Childcare"},'SERVICE ENTRY'!$C$4:$C$1200,'County Report'!A36))+SUM(COUNTIFS('SERVICE ENTRY'!$AY$4:$AY$1200,{"Transportation","Interpretation/translation services","Co-pay/deductible assistance","Daily living expenses","Childcare"},'SERVICE ENTRY'!$C$4:$C$1200,'County Report'!A36))+SUM(COUNTIFS('SERVICE ENTRY'!$AZ$4:$AZ$1200,{"Transportation","Interpretation/translation services","Co-pay/deductible assistance","Daily living expenses","Childcare"},'SERVICE ENTRY'!$C$4:$C$1200,'County Report'!A36))+SUM(COUNTIFS('SERVICE ENTRY'!$BA$4:$BA$1200,{"Transportation","Interpretation/translation services","Co-pay/deductible assistance","Daily living expenses","Childcare"},'SERVICE ENTRY'!$C$4:$C$1200,'County Report'!A36))</f>
        <v>0</v>
      </c>
      <c r="L36" s="187"/>
    </row>
    <row r="37" spans="1:12" x14ac:dyDescent="0.25">
      <c r="A37" s="167" t="s">
        <v>658</v>
      </c>
      <c r="B37" s="91">
        <f>COUNTIF('SERVICE ENTRY'!$C$4:$C$1200,'County Report'!A37)</f>
        <v>0</v>
      </c>
      <c r="C37" s="124">
        <f>SUMIF('SERVICE ENTRY'!$C$4:$C$1200,'County Report'!A37,'SERVICE ENTRY'!$N$4:$N$1200)</f>
        <v>0</v>
      </c>
      <c r="D37" s="91">
        <f>SUM(COUNTIFS('SERVICE ENTRY'!$C$4:$C$1200,'County Report'!A37,'SERVICE ENTRY'!$AC$4:$AC$1200,{"Mammogram","Clinical breast exam","Genetic testing/counseling"}),COUNTIFS('SERVICE ENTRY'!$C$4:$C$1200,'County Report'!A37,'SERVICE ENTRY'!$AD$4:$AD$1200,{"Mammogram","Clinical breast exam","Genetic testing/counseling"}))</f>
        <v>0</v>
      </c>
      <c r="E37" s="91">
        <f>COUNTIFS('SERVICE ENTRY'!$C$4:$C$1200,'County Report'!A37,'SERVICE ENTRY'!$BB$4:$BB$1200,"0-30 days")+COUNTIFS('SERVICE ENTRY'!$C$4:$C$1200,'County Report'!A37,'SERVICE ENTRY'!$BB$4:$BB$1200,"31-60 days")+COUNTIFS('SERVICE ENTRY'!$C$4:$C$1200,'County Report'!A37,'SERVICE ENTRY'!$BB$4:$BB$1200,"61-90 days")++COUNTIFS('SERVICE ENTRY'!$C$4:$C$1200,'County Report'!A37,'SERVICE ENTRY'!$BB$4:$BB$1200,"More than 90 days")+COUNTIFS('SERVICE ENTRY'!$C$4:$C$1200,'County Report'!A37,'SERVICE ENTRY'!$BB$4:$BB$1200,"Unknown")</f>
        <v>0</v>
      </c>
      <c r="F37" s="91">
        <f>SUM(COUNTIFS('SERVICE ENTRY'!$AJ$4:$AJ$1200,{"Diagnostic mammogram","Breast ultrasound","Biopsy","Breast MRI","Genomic testing to guide treatment"},'SERVICE ENTRY'!$C$4:$C$1200,'County Report'!A37))+SUM(COUNTIFS('SERVICE ENTRY'!$AK$4:$AK$1200,{"Diagnostic mammogram","Breast ultrasound","Biopsy","Breast MRI","Genomic testing to guide treatment"},'SERVICE ENTRY'!$C$4:$C$1200,'County Report'!A37))</f>
        <v>0</v>
      </c>
      <c r="G37" s="239">
        <f>SUM(COUNTIFS('SERVICE ENTRY'!$C$4:$C$1200,'County Report'!A37,'SERVICE ENTRY'!$BE$4:$BE$1200,{"0-30 days","31-60 days","61-90 days","More than 90 days","Unknown"}))</f>
        <v>0</v>
      </c>
      <c r="H37" s="91">
        <f>SUM(COUNTIFS('SERVICE ENTRY'!$AP$4:$AP$1200,{"Chemotherapy","Radiation therapy","Surgery","Hormone therapy","Targeted Therapy"},'SERVICE ENTRY'!$C$4:$C$1200,'County Report'!A37))+SUM(COUNTIFS('SERVICE ENTRY'!$AQ$4:$AQ$1200,{"Chemotherapy","Radiation therapy","Surgery","Hormone therapy","Targeted Therapy"},'SERVICE ENTRY'!$C$4:$C$1200,'County Report'!A37))+SUM(COUNTIFS('SERVICE ENTRY'!$AR$4:$AR$1200,{"Chemotherapy","Radiation therapy","Surgery","Hormone therapy","Targeted Therapy"},'SERVICE ENTRY'!$C$4:$C$1200,'County Report'!A37))</f>
        <v>0</v>
      </c>
      <c r="I37" s="91">
        <f>SUM(COUNTIFS('SERVICE ENTRY'!$C$4:$C$1200,'County Report'!A37,'SERVICE ENTRY'!$BH$4:$BH$1200,{"0-30 days","31-60 days","61-90 days","More than 90 days","Unknown"}))</f>
        <v>0</v>
      </c>
      <c r="J37"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Report'!A37))+SUM(COUNTIFS('SERVICE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Report'!A37))+SUM(COUNTIFS('SERVICE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Report'!A37))</f>
        <v>0</v>
      </c>
      <c r="K37" s="91">
        <f>SUM(COUNTIFS('SERVICE ENTRY'!$AW$4:$AW$1200,{"Transportation","Interpretation/translation services","Co-pay/deductible assistance","Daily living expenses","Childcare"},'SERVICE ENTRY'!$C$4:$C$1200,'County Report'!A37))+SUM(COUNTIFS('SERVICE ENTRY'!$AX$4:$AX$1200,{"Transportation","Interpretation/translation services","Co-pay/deductible assistance","Daily living expenses","Childcare"},'SERVICE ENTRY'!$C$4:$C$1200,'County Report'!A37))+SUM(COUNTIFS('SERVICE ENTRY'!$AY$4:$AY$1200,{"Transportation","Interpretation/translation services","Co-pay/deductible assistance","Daily living expenses","Childcare"},'SERVICE ENTRY'!$C$4:$C$1200,'County Report'!A37))+SUM(COUNTIFS('SERVICE ENTRY'!$AZ$4:$AZ$1200,{"Transportation","Interpretation/translation services","Co-pay/deductible assistance","Daily living expenses","Childcare"},'SERVICE ENTRY'!$C$4:$C$1200,'County Report'!A37))+SUM(COUNTIFS('SERVICE ENTRY'!$BA$4:$BA$1200,{"Transportation","Interpretation/translation services","Co-pay/deductible assistance","Daily living expenses","Childcare"},'SERVICE ENTRY'!$C$4:$C$1200,'County Report'!A37))</f>
        <v>0</v>
      </c>
      <c r="L37" s="187"/>
    </row>
    <row r="38" spans="1:12" x14ac:dyDescent="0.25">
      <c r="A38" s="167" t="s">
        <v>659</v>
      </c>
      <c r="B38" s="91">
        <f>COUNTIF('SERVICE ENTRY'!$C$4:$C$1200,'County Report'!A38)</f>
        <v>0</v>
      </c>
      <c r="C38" s="124">
        <f>SUMIF('SERVICE ENTRY'!$C$4:$C$1200,'County Report'!A38,'SERVICE ENTRY'!$N$4:$N$1200)</f>
        <v>0</v>
      </c>
      <c r="D38" s="91">
        <f>SUM(COUNTIFS('SERVICE ENTRY'!$C$4:$C$1200,'County Report'!A38,'SERVICE ENTRY'!$AC$4:$AC$1200,{"Mammogram","Clinical breast exam","Genetic testing/counseling"}),COUNTIFS('SERVICE ENTRY'!$C$4:$C$1200,'County Report'!A38,'SERVICE ENTRY'!$AD$4:$AD$1200,{"Mammogram","Clinical breast exam","Genetic testing/counseling"}))</f>
        <v>0</v>
      </c>
      <c r="E38" s="91">
        <f>COUNTIFS('SERVICE ENTRY'!$C$4:$C$1200,'County Report'!A38,'SERVICE ENTRY'!$BB$4:$BB$1200,"0-30 days")+COUNTIFS('SERVICE ENTRY'!$C$4:$C$1200,'County Report'!A38,'SERVICE ENTRY'!$BB$4:$BB$1200,"31-60 days")+COUNTIFS('SERVICE ENTRY'!$C$4:$C$1200,'County Report'!A38,'SERVICE ENTRY'!$BB$4:$BB$1200,"61-90 days")++COUNTIFS('SERVICE ENTRY'!$C$4:$C$1200,'County Report'!A38,'SERVICE ENTRY'!$BB$4:$BB$1200,"More than 90 days")+COUNTIFS('SERVICE ENTRY'!$C$4:$C$1200,'County Report'!A38,'SERVICE ENTRY'!$BB$4:$BB$1200,"Unknown")</f>
        <v>0</v>
      </c>
      <c r="F38" s="91">
        <f>SUM(COUNTIFS('SERVICE ENTRY'!$AJ$4:$AJ$1200,{"Diagnostic mammogram","Breast ultrasound","Biopsy","Breast MRI","Genomic testing to guide treatment"},'SERVICE ENTRY'!$C$4:$C$1200,'County Report'!A38))+SUM(COUNTIFS('SERVICE ENTRY'!$AK$4:$AK$1200,{"Diagnostic mammogram","Breast ultrasound","Biopsy","Breast MRI","Genomic testing to guide treatment"},'SERVICE ENTRY'!$C$4:$C$1200,'County Report'!A38))</f>
        <v>0</v>
      </c>
      <c r="G38" s="239">
        <f>SUM(COUNTIFS('SERVICE ENTRY'!$C$4:$C$1200,'County Report'!A38,'SERVICE ENTRY'!$BE$4:$BE$1200,{"0-30 days","31-60 days","61-90 days","More than 90 days","Unknown"}))</f>
        <v>0</v>
      </c>
      <c r="H38" s="91">
        <f>SUM(COUNTIFS('SERVICE ENTRY'!$AP$4:$AP$1200,{"Chemotherapy","Radiation therapy","Surgery","Hormone therapy","Targeted Therapy"},'SERVICE ENTRY'!$C$4:$C$1200,'County Report'!A38))+SUM(COUNTIFS('SERVICE ENTRY'!$AQ$4:$AQ$1200,{"Chemotherapy","Radiation therapy","Surgery","Hormone therapy","Targeted Therapy"},'SERVICE ENTRY'!$C$4:$C$1200,'County Report'!A38))+SUM(COUNTIFS('SERVICE ENTRY'!$AR$4:$AR$1200,{"Chemotherapy","Radiation therapy","Surgery","Hormone therapy","Targeted Therapy"},'SERVICE ENTRY'!$C$4:$C$1200,'County Report'!A38))</f>
        <v>0</v>
      </c>
      <c r="I38" s="91">
        <f>SUM(COUNTIFS('SERVICE ENTRY'!$C$4:$C$1200,'County Report'!A38,'SERVICE ENTRY'!$BH$4:$BH$1200,{"0-30 days","31-60 days","61-90 days","More than 90 days","Unknown"}))</f>
        <v>0</v>
      </c>
      <c r="J38"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Report'!A38))+SUM(COUNTIFS('SERVICE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Report'!A38))+SUM(COUNTIFS('SERVICE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Report'!A38))</f>
        <v>0</v>
      </c>
      <c r="K38" s="91">
        <f>SUM(COUNTIFS('SERVICE ENTRY'!$AW$4:$AW$1200,{"Transportation","Interpretation/translation services","Co-pay/deductible assistance","Daily living expenses","Childcare"},'SERVICE ENTRY'!$C$4:$C$1200,'County Report'!A38))+SUM(COUNTIFS('SERVICE ENTRY'!$AX$4:$AX$1200,{"Transportation","Interpretation/translation services","Co-pay/deductible assistance","Daily living expenses","Childcare"},'SERVICE ENTRY'!$C$4:$C$1200,'County Report'!A38))+SUM(COUNTIFS('SERVICE ENTRY'!$AY$4:$AY$1200,{"Transportation","Interpretation/translation services","Co-pay/deductible assistance","Daily living expenses","Childcare"},'SERVICE ENTRY'!$C$4:$C$1200,'County Report'!A38))+SUM(COUNTIFS('SERVICE ENTRY'!$AZ$4:$AZ$1200,{"Transportation","Interpretation/translation services","Co-pay/deductible assistance","Daily living expenses","Childcare"},'SERVICE ENTRY'!$C$4:$C$1200,'County Report'!A38))+SUM(COUNTIFS('SERVICE ENTRY'!$BA$4:$BA$1200,{"Transportation","Interpretation/translation services","Co-pay/deductible assistance","Daily living expenses","Childcare"},'SERVICE ENTRY'!$C$4:$C$1200,'County Report'!A38))</f>
        <v>0</v>
      </c>
      <c r="L38" s="187"/>
    </row>
    <row r="39" spans="1:12" x14ac:dyDescent="0.25">
      <c r="A39" s="167" t="s">
        <v>660</v>
      </c>
      <c r="B39" s="91">
        <f>COUNTIF('SERVICE ENTRY'!$C$4:$C$1200,'County Report'!A39)</f>
        <v>0</v>
      </c>
      <c r="C39" s="124">
        <f>SUMIF('SERVICE ENTRY'!$C$4:$C$1200,'County Report'!A39,'SERVICE ENTRY'!$N$4:$N$1200)</f>
        <v>0</v>
      </c>
      <c r="D39" s="91">
        <f>SUM(COUNTIFS('SERVICE ENTRY'!$C$4:$C$1200,'County Report'!A39,'SERVICE ENTRY'!$AC$4:$AC$1200,{"Mammogram","Clinical breast exam","Genetic testing/counseling"}),COUNTIFS('SERVICE ENTRY'!$C$4:$C$1200,'County Report'!A39,'SERVICE ENTRY'!$AD$4:$AD$1200,{"Mammogram","Clinical breast exam","Genetic testing/counseling"}))</f>
        <v>0</v>
      </c>
      <c r="E39" s="91">
        <f>COUNTIFS('SERVICE ENTRY'!$C$4:$C$1200,'County Report'!A39,'SERVICE ENTRY'!$BB$4:$BB$1200,"0-30 days")+COUNTIFS('SERVICE ENTRY'!$C$4:$C$1200,'County Report'!A39,'SERVICE ENTRY'!$BB$4:$BB$1200,"31-60 days")+COUNTIFS('SERVICE ENTRY'!$C$4:$C$1200,'County Report'!A39,'SERVICE ENTRY'!$BB$4:$BB$1200,"61-90 days")++COUNTIFS('SERVICE ENTRY'!$C$4:$C$1200,'County Report'!A39,'SERVICE ENTRY'!$BB$4:$BB$1200,"More than 90 days")+COUNTIFS('SERVICE ENTRY'!$C$4:$C$1200,'County Report'!A39,'SERVICE ENTRY'!$BB$4:$BB$1200,"Unknown")</f>
        <v>0</v>
      </c>
      <c r="F39" s="91">
        <f>SUM(COUNTIFS('SERVICE ENTRY'!$AJ$4:$AJ$1200,{"Diagnostic mammogram","Breast ultrasound","Biopsy","Breast MRI","Genomic testing to guide treatment"},'SERVICE ENTRY'!$C$4:$C$1200,'County Report'!A39))+SUM(COUNTIFS('SERVICE ENTRY'!$AK$4:$AK$1200,{"Diagnostic mammogram","Breast ultrasound","Biopsy","Breast MRI","Genomic testing to guide treatment"},'SERVICE ENTRY'!$C$4:$C$1200,'County Report'!A39))</f>
        <v>0</v>
      </c>
      <c r="G39" s="239">
        <f>SUM(COUNTIFS('SERVICE ENTRY'!$C$4:$C$1200,'County Report'!A39,'SERVICE ENTRY'!$BE$4:$BE$1200,{"0-30 days","31-60 days","61-90 days","More than 90 days","Unknown"}))</f>
        <v>0</v>
      </c>
      <c r="H39" s="91">
        <f>SUM(COUNTIFS('SERVICE ENTRY'!$AP$4:$AP$1200,{"Chemotherapy","Radiation therapy","Surgery","Hormone therapy","Targeted Therapy"},'SERVICE ENTRY'!$C$4:$C$1200,'County Report'!A39))+SUM(COUNTIFS('SERVICE ENTRY'!$AQ$4:$AQ$1200,{"Chemotherapy","Radiation therapy","Surgery","Hormone therapy","Targeted Therapy"},'SERVICE ENTRY'!$C$4:$C$1200,'County Report'!A39))+SUM(COUNTIFS('SERVICE ENTRY'!$AR$4:$AR$1200,{"Chemotherapy","Radiation therapy","Surgery","Hormone therapy","Targeted Therapy"},'SERVICE ENTRY'!$C$4:$C$1200,'County Report'!A39))</f>
        <v>0</v>
      </c>
      <c r="I39" s="91">
        <f>SUM(COUNTIFS('SERVICE ENTRY'!$C$4:$C$1200,'County Report'!A39,'SERVICE ENTRY'!$BH$4:$BH$1200,{"0-30 days","31-60 days","61-90 days","More than 90 days","Unknown"}))</f>
        <v>0</v>
      </c>
      <c r="J39"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Report'!A39))+SUM(COUNTIFS('SERVICE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Report'!A39))+SUM(COUNTIFS('SERVICE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Report'!A39))</f>
        <v>0</v>
      </c>
      <c r="K39" s="91">
        <f>SUM(COUNTIFS('SERVICE ENTRY'!$AW$4:$AW$1200,{"Transportation","Interpretation/translation services","Co-pay/deductible assistance","Daily living expenses","Childcare"},'SERVICE ENTRY'!$C$4:$C$1200,'County Report'!A39))+SUM(COUNTIFS('SERVICE ENTRY'!$AX$4:$AX$1200,{"Transportation","Interpretation/translation services","Co-pay/deductible assistance","Daily living expenses","Childcare"},'SERVICE ENTRY'!$C$4:$C$1200,'County Report'!A39))+SUM(COUNTIFS('SERVICE ENTRY'!$AY$4:$AY$1200,{"Transportation","Interpretation/translation services","Co-pay/deductible assistance","Daily living expenses","Childcare"},'SERVICE ENTRY'!$C$4:$C$1200,'County Report'!A39))+SUM(COUNTIFS('SERVICE ENTRY'!$AZ$4:$AZ$1200,{"Transportation","Interpretation/translation services","Co-pay/deductible assistance","Daily living expenses","Childcare"},'SERVICE ENTRY'!$C$4:$C$1200,'County Report'!A39))+SUM(COUNTIFS('SERVICE ENTRY'!$BA$4:$BA$1200,{"Transportation","Interpretation/translation services","Co-pay/deductible assistance","Daily living expenses","Childcare"},'SERVICE ENTRY'!$C$4:$C$1200,'County Report'!A39))</f>
        <v>0</v>
      </c>
      <c r="L39" s="187"/>
    </row>
    <row r="40" spans="1:12" x14ac:dyDescent="0.25">
      <c r="A40" s="167" t="s">
        <v>661</v>
      </c>
      <c r="B40" s="91">
        <f>COUNTIF('SERVICE ENTRY'!$C$4:$C$1200,'County Report'!A40)</f>
        <v>0</v>
      </c>
      <c r="C40" s="124">
        <f>SUMIF('SERVICE ENTRY'!$C$4:$C$1200,'County Report'!A40,'SERVICE ENTRY'!$N$4:$N$1200)</f>
        <v>0</v>
      </c>
      <c r="D40" s="91">
        <f>SUM(COUNTIFS('SERVICE ENTRY'!$C$4:$C$1200,'County Report'!A40,'SERVICE ENTRY'!$AC$4:$AC$1200,{"Mammogram","Clinical breast exam","Genetic testing/counseling"}),COUNTIFS('SERVICE ENTRY'!$C$4:$C$1200,'County Report'!A40,'SERVICE ENTRY'!$AD$4:$AD$1200,{"Mammogram","Clinical breast exam","Genetic testing/counseling"}))</f>
        <v>0</v>
      </c>
      <c r="E40" s="91">
        <f>COUNTIFS('SERVICE ENTRY'!$C$4:$C$1200,'County Report'!A40,'SERVICE ENTRY'!$BB$4:$BB$1200,"0-30 days")+COUNTIFS('SERVICE ENTRY'!$C$4:$C$1200,'County Report'!A40,'SERVICE ENTRY'!$BB$4:$BB$1200,"31-60 days")+COUNTIFS('SERVICE ENTRY'!$C$4:$C$1200,'County Report'!A40,'SERVICE ENTRY'!$BB$4:$BB$1200,"61-90 days")++COUNTIFS('SERVICE ENTRY'!$C$4:$C$1200,'County Report'!A40,'SERVICE ENTRY'!$BB$4:$BB$1200,"More than 90 days")+COUNTIFS('SERVICE ENTRY'!$C$4:$C$1200,'County Report'!A40,'SERVICE ENTRY'!$BB$4:$BB$1200,"Unknown")</f>
        <v>0</v>
      </c>
      <c r="F40" s="91">
        <f>SUM(COUNTIFS('SERVICE ENTRY'!$AJ$4:$AJ$1200,{"Diagnostic mammogram","Breast ultrasound","Biopsy","Breast MRI","Genomic testing to guide treatment"},'SERVICE ENTRY'!$C$4:$C$1200,'County Report'!A40))+SUM(COUNTIFS('SERVICE ENTRY'!$AK$4:$AK$1200,{"Diagnostic mammogram","Breast ultrasound","Biopsy","Breast MRI","Genomic testing to guide treatment"},'SERVICE ENTRY'!$C$4:$C$1200,'County Report'!A40))</f>
        <v>0</v>
      </c>
      <c r="G40" s="239">
        <f>SUM(COUNTIFS('SERVICE ENTRY'!$C$4:$C$1200,'County Report'!A40,'SERVICE ENTRY'!$BE$4:$BE$1200,{"0-30 days","31-60 days","61-90 days","More than 90 days","Unknown"}))</f>
        <v>0</v>
      </c>
      <c r="H40" s="91">
        <f>SUM(COUNTIFS('SERVICE ENTRY'!$AP$4:$AP$1200,{"Chemotherapy","Radiation therapy","Surgery","Hormone therapy","Targeted Therapy"},'SERVICE ENTRY'!$C$4:$C$1200,'County Report'!A40))+SUM(COUNTIFS('SERVICE ENTRY'!$AQ$4:$AQ$1200,{"Chemotherapy","Radiation therapy","Surgery","Hormone therapy","Targeted Therapy"},'SERVICE ENTRY'!$C$4:$C$1200,'County Report'!A40))+SUM(COUNTIFS('SERVICE ENTRY'!$AR$4:$AR$1200,{"Chemotherapy","Radiation therapy","Surgery","Hormone therapy","Targeted Therapy"},'SERVICE ENTRY'!$C$4:$C$1200,'County Report'!A40))</f>
        <v>0</v>
      </c>
      <c r="I40" s="91">
        <f>SUM(COUNTIFS('SERVICE ENTRY'!$C$4:$C$1200,'County Report'!A40,'SERVICE ENTRY'!$BH$4:$BH$1200,{"0-30 days","31-60 days","61-90 days","More than 90 days","Unknown"}))</f>
        <v>0</v>
      </c>
      <c r="J40"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Report'!A40))+SUM(COUNTIFS('SERVICE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Report'!A40))+SUM(COUNTIFS('SERVICE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Report'!A40))</f>
        <v>0</v>
      </c>
      <c r="K40" s="91">
        <f>SUM(COUNTIFS('SERVICE ENTRY'!$AW$4:$AW$1200,{"Transportation","Interpretation/translation services","Co-pay/deductible assistance","Daily living expenses","Childcare"},'SERVICE ENTRY'!$C$4:$C$1200,'County Report'!A40))+SUM(COUNTIFS('SERVICE ENTRY'!$AX$4:$AX$1200,{"Transportation","Interpretation/translation services","Co-pay/deductible assistance","Daily living expenses","Childcare"},'SERVICE ENTRY'!$C$4:$C$1200,'County Report'!A40))+SUM(COUNTIFS('SERVICE ENTRY'!$AY$4:$AY$1200,{"Transportation","Interpretation/translation services","Co-pay/deductible assistance","Daily living expenses","Childcare"},'SERVICE ENTRY'!$C$4:$C$1200,'County Report'!A40))+SUM(COUNTIFS('SERVICE ENTRY'!$AZ$4:$AZ$1200,{"Transportation","Interpretation/translation services","Co-pay/deductible assistance","Daily living expenses","Childcare"},'SERVICE ENTRY'!$C$4:$C$1200,'County Report'!A40))+SUM(COUNTIFS('SERVICE ENTRY'!$BA$4:$BA$1200,{"Transportation","Interpretation/translation services","Co-pay/deductible assistance","Daily living expenses","Childcare"},'SERVICE ENTRY'!$C$4:$C$1200,'County Report'!A40))</f>
        <v>0</v>
      </c>
      <c r="L40" s="187"/>
    </row>
    <row r="41" spans="1:12" x14ac:dyDescent="0.25">
      <c r="A41" s="167" t="s">
        <v>662</v>
      </c>
      <c r="B41" s="91">
        <f>COUNTIF('SERVICE ENTRY'!$C$4:$C$1200,'County Report'!A41)</f>
        <v>0</v>
      </c>
      <c r="C41" s="124">
        <f>SUMIF('SERVICE ENTRY'!$C$4:$C$1200,'County Report'!A41,'SERVICE ENTRY'!$N$4:$N$1200)</f>
        <v>0</v>
      </c>
      <c r="D41" s="91">
        <f>SUM(COUNTIFS('SERVICE ENTRY'!$C$4:$C$1200,'County Report'!A41,'SERVICE ENTRY'!$AC$4:$AC$1200,{"Mammogram","Clinical breast exam","Genetic testing/counseling"}),COUNTIFS('SERVICE ENTRY'!$C$4:$C$1200,'County Report'!A41,'SERVICE ENTRY'!$AD$4:$AD$1200,{"Mammogram","Clinical breast exam","Genetic testing/counseling"}))</f>
        <v>0</v>
      </c>
      <c r="E41" s="91">
        <f>COUNTIFS('SERVICE ENTRY'!$C$4:$C$1200,'County Report'!A41,'SERVICE ENTRY'!$BB$4:$BB$1200,"0-30 days")+COUNTIFS('SERVICE ENTRY'!$C$4:$C$1200,'County Report'!A41,'SERVICE ENTRY'!$BB$4:$BB$1200,"31-60 days")+COUNTIFS('SERVICE ENTRY'!$C$4:$C$1200,'County Report'!A41,'SERVICE ENTRY'!$BB$4:$BB$1200,"61-90 days")++COUNTIFS('SERVICE ENTRY'!$C$4:$C$1200,'County Report'!A41,'SERVICE ENTRY'!$BB$4:$BB$1200,"More than 90 days")+COUNTIFS('SERVICE ENTRY'!$C$4:$C$1200,'County Report'!A41,'SERVICE ENTRY'!$BB$4:$BB$1200,"Unknown")</f>
        <v>0</v>
      </c>
      <c r="F41" s="91">
        <f>SUM(COUNTIFS('SERVICE ENTRY'!$AJ$4:$AJ$1200,{"Diagnostic mammogram","Breast ultrasound","Biopsy","Breast MRI","Genomic testing to guide treatment"},'SERVICE ENTRY'!$C$4:$C$1200,'County Report'!A41))+SUM(COUNTIFS('SERVICE ENTRY'!$AK$4:$AK$1200,{"Diagnostic mammogram","Breast ultrasound","Biopsy","Breast MRI","Genomic testing to guide treatment"},'SERVICE ENTRY'!$C$4:$C$1200,'County Report'!A41))</f>
        <v>0</v>
      </c>
      <c r="G41" s="239">
        <f>SUM(COUNTIFS('SERVICE ENTRY'!$C$4:$C$1200,'County Report'!A41,'SERVICE ENTRY'!$BE$4:$BE$1200,{"0-30 days","31-60 days","61-90 days","More than 90 days","Unknown"}))</f>
        <v>0</v>
      </c>
      <c r="H41" s="91">
        <f>SUM(COUNTIFS('SERVICE ENTRY'!$AP$4:$AP$1200,{"Chemotherapy","Radiation therapy","Surgery","Hormone therapy","Targeted Therapy"},'SERVICE ENTRY'!$C$4:$C$1200,'County Report'!A41))+SUM(COUNTIFS('SERVICE ENTRY'!$AQ$4:$AQ$1200,{"Chemotherapy","Radiation therapy","Surgery","Hormone therapy","Targeted Therapy"},'SERVICE ENTRY'!$C$4:$C$1200,'County Report'!A41))+SUM(COUNTIFS('SERVICE ENTRY'!$AR$4:$AR$1200,{"Chemotherapy","Radiation therapy","Surgery","Hormone therapy","Targeted Therapy"},'SERVICE ENTRY'!$C$4:$C$1200,'County Report'!A41))</f>
        <v>0</v>
      </c>
      <c r="I41" s="91">
        <f>SUM(COUNTIFS('SERVICE ENTRY'!$C$4:$C$1200,'County Report'!A41,'SERVICE ENTRY'!$BH$4:$BH$1200,{"0-30 days","31-60 days","61-90 days","More than 90 days","Unknown"}))</f>
        <v>0</v>
      </c>
      <c r="J41"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Report'!A41))+SUM(COUNTIFS('SERVICE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Report'!A41))+SUM(COUNTIFS('SERVICE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Report'!A41))</f>
        <v>0</v>
      </c>
      <c r="K41" s="91">
        <f>SUM(COUNTIFS('SERVICE ENTRY'!$AW$4:$AW$1200,{"Transportation","Interpretation/translation services","Co-pay/deductible assistance","Daily living expenses","Childcare"},'SERVICE ENTRY'!$C$4:$C$1200,'County Report'!A41))+SUM(COUNTIFS('SERVICE ENTRY'!$AX$4:$AX$1200,{"Transportation","Interpretation/translation services","Co-pay/deductible assistance","Daily living expenses","Childcare"},'SERVICE ENTRY'!$C$4:$C$1200,'County Report'!A41))+SUM(COUNTIFS('SERVICE ENTRY'!$AY$4:$AY$1200,{"Transportation","Interpretation/translation services","Co-pay/deductible assistance","Daily living expenses","Childcare"},'SERVICE ENTRY'!$C$4:$C$1200,'County Report'!A41))+SUM(COUNTIFS('SERVICE ENTRY'!$AZ$4:$AZ$1200,{"Transportation","Interpretation/translation services","Co-pay/deductible assistance","Daily living expenses","Childcare"},'SERVICE ENTRY'!$C$4:$C$1200,'County Report'!A41))+SUM(COUNTIFS('SERVICE ENTRY'!$BA$4:$BA$1200,{"Transportation","Interpretation/translation services","Co-pay/deductible assistance","Daily living expenses","Childcare"},'SERVICE ENTRY'!$C$4:$C$1200,'County Report'!A41))</f>
        <v>0</v>
      </c>
      <c r="L41" s="187"/>
    </row>
    <row r="42" spans="1:12" x14ac:dyDescent="0.25">
      <c r="A42" s="167" t="s">
        <v>663</v>
      </c>
      <c r="B42" s="91">
        <f>COUNTIF('SERVICE ENTRY'!$C$4:$C$1200,'County Report'!A42)</f>
        <v>0</v>
      </c>
      <c r="C42" s="124">
        <f>SUMIF('SERVICE ENTRY'!$C$4:$C$1200,'County Report'!A42,'SERVICE ENTRY'!$N$4:$N$1200)</f>
        <v>0</v>
      </c>
      <c r="D42" s="91">
        <f>SUM(COUNTIFS('SERVICE ENTRY'!$C$4:$C$1200,'County Report'!A42,'SERVICE ENTRY'!$AC$4:$AC$1200,{"Mammogram","Clinical breast exam","Genetic testing/counseling"}),COUNTIFS('SERVICE ENTRY'!$C$4:$C$1200,'County Report'!A42,'SERVICE ENTRY'!$AD$4:$AD$1200,{"Mammogram","Clinical breast exam","Genetic testing/counseling"}))</f>
        <v>0</v>
      </c>
      <c r="E42" s="91">
        <f>COUNTIFS('SERVICE ENTRY'!$C$4:$C$1200,'County Report'!A42,'SERVICE ENTRY'!$BB$4:$BB$1200,"0-30 days")+COUNTIFS('SERVICE ENTRY'!$C$4:$C$1200,'County Report'!A42,'SERVICE ENTRY'!$BB$4:$BB$1200,"31-60 days")+COUNTIFS('SERVICE ENTRY'!$C$4:$C$1200,'County Report'!A42,'SERVICE ENTRY'!$BB$4:$BB$1200,"61-90 days")++COUNTIFS('SERVICE ENTRY'!$C$4:$C$1200,'County Report'!A42,'SERVICE ENTRY'!$BB$4:$BB$1200,"More than 90 days")+COUNTIFS('SERVICE ENTRY'!$C$4:$C$1200,'County Report'!A42,'SERVICE ENTRY'!$BB$4:$BB$1200,"Unknown")</f>
        <v>0</v>
      </c>
      <c r="F42" s="91">
        <f>SUM(COUNTIFS('SERVICE ENTRY'!$AJ$4:$AJ$1200,{"Diagnostic mammogram","Breast ultrasound","Biopsy","Breast MRI","Genomic testing to guide treatment"},'SERVICE ENTRY'!$C$4:$C$1200,'County Report'!A42))+SUM(COUNTIFS('SERVICE ENTRY'!$AK$4:$AK$1200,{"Diagnostic mammogram","Breast ultrasound","Biopsy","Breast MRI","Genomic testing to guide treatment"},'SERVICE ENTRY'!$C$4:$C$1200,'County Report'!A42))</f>
        <v>0</v>
      </c>
      <c r="G42" s="239">
        <f>SUM(COUNTIFS('SERVICE ENTRY'!$C$4:$C$1200,'County Report'!A42,'SERVICE ENTRY'!$BE$4:$BE$1200,{"0-30 days","31-60 days","61-90 days","More than 90 days","Unknown"}))</f>
        <v>0</v>
      </c>
      <c r="H42" s="91">
        <f>SUM(COUNTIFS('SERVICE ENTRY'!$AP$4:$AP$1200,{"Chemotherapy","Radiation therapy","Surgery","Hormone therapy","Targeted Therapy"},'SERVICE ENTRY'!$C$4:$C$1200,'County Report'!A42))+SUM(COUNTIFS('SERVICE ENTRY'!$AQ$4:$AQ$1200,{"Chemotherapy","Radiation therapy","Surgery","Hormone therapy","Targeted Therapy"},'SERVICE ENTRY'!$C$4:$C$1200,'County Report'!A42))+SUM(COUNTIFS('SERVICE ENTRY'!$AR$4:$AR$1200,{"Chemotherapy","Radiation therapy","Surgery","Hormone therapy","Targeted Therapy"},'SERVICE ENTRY'!$C$4:$C$1200,'County Report'!A42))</f>
        <v>0</v>
      </c>
      <c r="I42" s="91">
        <f>SUM(COUNTIFS('SERVICE ENTRY'!$C$4:$C$1200,'County Report'!A42,'SERVICE ENTRY'!$BH$4:$BH$1200,{"0-30 days","31-60 days","61-90 days","More than 90 days","Unknown"}))</f>
        <v>0</v>
      </c>
      <c r="J42"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Report'!A42))+SUM(COUNTIFS('SERVICE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Report'!A42))+SUM(COUNTIFS('SERVICE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Report'!A42))</f>
        <v>0</v>
      </c>
      <c r="K42" s="91">
        <f>SUM(COUNTIFS('SERVICE ENTRY'!$AW$4:$AW$1200,{"Transportation","Interpretation/translation services","Co-pay/deductible assistance","Daily living expenses","Childcare"},'SERVICE ENTRY'!$C$4:$C$1200,'County Report'!A42))+SUM(COUNTIFS('SERVICE ENTRY'!$AX$4:$AX$1200,{"Transportation","Interpretation/translation services","Co-pay/deductible assistance","Daily living expenses","Childcare"},'SERVICE ENTRY'!$C$4:$C$1200,'County Report'!A42))+SUM(COUNTIFS('SERVICE ENTRY'!$AY$4:$AY$1200,{"Transportation","Interpretation/translation services","Co-pay/deductible assistance","Daily living expenses","Childcare"},'SERVICE ENTRY'!$C$4:$C$1200,'County Report'!A42))+SUM(COUNTIFS('SERVICE ENTRY'!$AZ$4:$AZ$1200,{"Transportation","Interpretation/translation services","Co-pay/deductible assistance","Daily living expenses","Childcare"},'SERVICE ENTRY'!$C$4:$C$1200,'County Report'!A42))+SUM(COUNTIFS('SERVICE ENTRY'!$BA$4:$BA$1200,{"Transportation","Interpretation/translation services","Co-pay/deductible assistance","Daily living expenses","Childcare"},'SERVICE ENTRY'!$C$4:$C$1200,'County Report'!A42))</f>
        <v>0</v>
      </c>
      <c r="L42" s="187"/>
    </row>
    <row r="43" spans="1:12" x14ac:dyDescent="0.25">
      <c r="A43" s="167" t="s">
        <v>664</v>
      </c>
      <c r="B43" s="91">
        <f>COUNTIF('SERVICE ENTRY'!$C$4:$C$1200,'County Report'!A43)</f>
        <v>0</v>
      </c>
      <c r="C43" s="124">
        <f>SUMIF('SERVICE ENTRY'!$C$4:$C$1200,'County Report'!A43,'SERVICE ENTRY'!$N$4:$N$1200)</f>
        <v>0</v>
      </c>
      <c r="D43" s="91">
        <f>SUM(COUNTIFS('SERVICE ENTRY'!$C$4:$C$1200,'County Report'!A43,'SERVICE ENTRY'!$AC$4:$AC$1200,{"Mammogram","Clinical breast exam","Genetic testing/counseling"}),COUNTIFS('SERVICE ENTRY'!$C$4:$C$1200,'County Report'!A43,'SERVICE ENTRY'!$AD$4:$AD$1200,{"Mammogram","Clinical breast exam","Genetic testing/counseling"}))</f>
        <v>0</v>
      </c>
      <c r="E43" s="91">
        <f>COUNTIFS('SERVICE ENTRY'!$C$4:$C$1200,'County Report'!A43,'SERVICE ENTRY'!$BB$4:$BB$1200,"0-30 days")+COUNTIFS('SERVICE ENTRY'!$C$4:$C$1200,'County Report'!A43,'SERVICE ENTRY'!$BB$4:$BB$1200,"31-60 days")+COUNTIFS('SERVICE ENTRY'!$C$4:$C$1200,'County Report'!A43,'SERVICE ENTRY'!$BB$4:$BB$1200,"61-90 days")++COUNTIFS('SERVICE ENTRY'!$C$4:$C$1200,'County Report'!A43,'SERVICE ENTRY'!$BB$4:$BB$1200,"More than 90 days")+COUNTIFS('SERVICE ENTRY'!$C$4:$C$1200,'County Report'!A43,'SERVICE ENTRY'!$BB$4:$BB$1200,"Unknown")</f>
        <v>0</v>
      </c>
      <c r="F43" s="91">
        <f>SUM(COUNTIFS('SERVICE ENTRY'!$AJ$4:$AJ$1200,{"Diagnostic mammogram","Breast ultrasound","Biopsy","Breast MRI","Genomic testing to guide treatment"},'SERVICE ENTRY'!$C$4:$C$1200,'County Report'!A43))+SUM(COUNTIFS('SERVICE ENTRY'!$AK$4:$AK$1200,{"Diagnostic mammogram","Breast ultrasound","Biopsy","Breast MRI","Genomic testing to guide treatment"},'SERVICE ENTRY'!$C$4:$C$1200,'County Report'!A43))</f>
        <v>0</v>
      </c>
      <c r="G43" s="239">
        <f>SUM(COUNTIFS('SERVICE ENTRY'!$C$4:$C$1200,'County Report'!A43,'SERVICE ENTRY'!$BE$4:$BE$1200,{"0-30 days","31-60 days","61-90 days","More than 90 days","Unknown"}))</f>
        <v>0</v>
      </c>
      <c r="H43" s="91">
        <f>SUM(COUNTIFS('SERVICE ENTRY'!$AP$4:$AP$1200,{"Chemotherapy","Radiation therapy","Surgery","Hormone therapy","Targeted Therapy"},'SERVICE ENTRY'!$C$4:$C$1200,'County Report'!A43))+SUM(COUNTIFS('SERVICE ENTRY'!$AQ$4:$AQ$1200,{"Chemotherapy","Radiation therapy","Surgery","Hormone therapy","Targeted Therapy"},'SERVICE ENTRY'!$C$4:$C$1200,'County Report'!A43))+SUM(COUNTIFS('SERVICE ENTRY'!$AR$4:$AR$1200,{"Chemotherapy","Radiation therapy","Surgery","Hormone therapy","Targeted Therapy"},'SERVICE ENTRY'!$C$4:$C$1200,'County Report'!A43))</f>
        <v>0</v>
      </c>
      <c r="I43" s="91">
        <f>SUM(COUNTIFS('SERVICE ENTRY'!$C$4:$C$1200,'County Report'!A43,'SERVICE ENTRY'!$BH$4:$BH$1200,{"0-30 days","31-60 days","61-90 days","More than 90 days","Unknown"}))</f>
        <v>0</v>
      </c>
      <c r="J43"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Report'!A43))+SUM(COUNTIFS('SERVICE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Report'!A43))+SUM(COUNTIFS('SERVICE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Report'!A43))</f>
        <v>0</v>
      </c>
      <c r="K43" s="91">
        <f>SUM(COUNTIFS('SERVICE ENTRY'!$AW$4:$AW$1200,{"Transportation","Interpretation/translation services","Co-pay/deductible assistance","Daily living expenses","Childcare"},'SERVICE ENTRY'!$C$4:$C$1200,'County Report'!A43))+SUM(COUNTIFS('SERVICE ENTRY'!$AX$4:$AX$1200,{"Transportation","Interpretation/translation services","Co-pay/deductible assistance","Daily living expenses","Childcare"},'SERVICE ENTRY'!$C$4:$C$1200,'County Report'!A43))+SUM(COUNTIFS('SERVICE ENTRY'!$AY$4:$AY$1200,{"Transportation","Interpretation/translation services","Co-pay/deductible assistance","Daily living expenses","Childcare"},'SERVICE ENTRY'!$C$4:$C$1200,'County Report'!A43))+SUM(COUNTIFS('SERVICE ENTRY'!$AZ$4:$AZ$1200,{"Transportation","Interpretation/translation services","Co-pay/deductible assistance","Daily living expenses","Childcare"},'SERVICE ENTRY'!$C$4:$C$1200,'County Report'!A43))+SUM(COUNTIFS('SERVICE ENTRY'!$BA$4:$BA$1200,{"Transportation","Interpretation/translation services","Co-pay/deductible assistance","Daily living expenses","Childcare"},'SERVICE ENTRY'!$C$4:$C$1200,'County Report'!A43))</f>
        <v>0</v>
      </c>
      <c r="L43" s="187"/>
    </row>
    <row r="44" spans="1:12" x14ac:dyDescent="0.25">
      <c r="A44" s="167" t="s">
        <v>665</v>
      </c>
      <c r="B44" s="91">
        <f>COUNTIF('SERVICE ENTRY'!$C$4:$C$1200,'County Report'!A44)</f>
        <v>0</v>
      </c>
      <c r="C44" s="124">
        <f>SUMIF('SERVICE ENTRY'!$C$4:$C$1200,'County Report'!A44,'SERVICE ENTRY'!$N$4:$N$1200)</f>
        <v>0</v>
      </c>
      <c r="D44" s="91">
        <f>SUM(COUNTIFS('SERVICE ENTRY'!$C$4:$C$1200,'County Report'!A44,'SERVICE ENTRY'!$AC$4:$AC$1200,{"Mammogram","Clinical breast exam","Genetic testing/counseling"}),COUNTIFS('SERVICE ENTRY'!$C$4:$C$1200,'County Report'!A44,'SERVICE ENTRY'!$AD$4:$AD$1200,{"Mammogram","Clinical breast exam","Genetic testing/counseling"}))</f>
        <v>0</v>
      </c>
      <c r="E44" s="91">
        <f>COUNTIFS('SERVICE ENTRY'!$C$4:$C$1200,'County Report'!A44,'SERVICE ENTRY'!$BB$4:$BB$1200,"0-30 days")+COUNTIFS('SERVICE ENTRY'!$C$4:$C$1200,'County Report'!A44,'SERVICE ENTRY'!$BB$4:$BB$1200,"31-60 days")+COUNTIFS('SERVICE ENTRY'!$C$4:$C$1200,'County Report'!A44,'SERVICE ENTRY'!$BB$4:$BB$1200,"61-90 days")++COUNTIFS('SERVICE ENTRY'!$C$4:$C$1200,'County Report'!A44,'SERVICE ENTRY'!$BB$4:$BB$1200,"More than 90 days")+COUNTIFS('SERVICE ENTRY'!$C$4:$C$1200,'County Report'!A44,'SERVICE ENTRY'!$BB$4:$BB$1200,"Unknown")</f>
        <v>0</v>
      </c>
      <c r="F44" s="91">
        <f>SUM(COUNTIFS('SERVICE ENTRY'!$AJ$4:$AJ$1200,{"Diagnostic mammogram","Breast ultrasound","Biopsy","Breast MRI","Genomic testing to guide treatment"},'SERVICE ENTRY'!$C$4:$C$1200,'County Report'!A44))+SUM(COUNTIFS('SERVICE ENTRY'!$AK$4:$AK$1200,{"Diagnostic mammogram","Breast ultrasound","Biopsy","Breast MRI","Genomic testing to guide treatment"},'SERVICE ENTRY'!$C$4:$C$1200,'County Report'!A44))</f>
        <v>0</v>
      </c>
      <c r="G44" s="239">
        <f>SUM(COUNTIFS('SERVICE ENTRY'!$C$4:$C$1200,'County Report'!A44,'SERVICE ENTRY'!$BE$4:$BE$1200,{"0-30 days","31-60 days","61-90 days","More than 90 days","Unknown"}))</f>
        <v>0</v>
      </c>
      <c r="H44" s="91">
        <f>SUM(COUNTIFS('SERVICE ENTRY'!$AP$4:$AP$1200,{"Chemotherapy","Radiation therapy","Surgery","Hormone therapy","Targeted Therapy"},'SERVICE ENTRY'!$C$4:$C$1200,'County Report'!A44))+SUM(COUNTIFS('SERVICE ENTRY'!$AQ$4:$AQ$1200,{"Chemotherapy","Radiation therapy","Surgery","Hormone therapy","Targeted Therapy"},'SERVICE ENTRY'!$C$4:$C$1200,'County Report'!A44))+SUM(COUNTIFS('SERVICE ENTRY'!$AR$4:$AR$1200,{"Chemotherapy","Radiation therapy","Surgery","Hormone therapy","Targeted Therapy"},'SERVICE ENTRY'!$C$4:$C$1200,'County Report'!A44))</f>
        <v>0</v>
      </c>
      <c r="I44" s="91">
        <f>SUM(COUNTIFS('SERVICE ENTRY'!$C$4:$C$1200,'County Report'!A44,'SERVICE ENTRY'!$BH$4:$BH$1200,{"0-30 days","31-60 days","61-90 days","More than 90 days","Unknown"}))</f>
        <v>0</v>
      </c>
      <c r="J44"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Report'!A44))+SUM(COUNTIFS('SERVICE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Report'!A44))+SUM(COUNTIFS('SERVICE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Report'!A44))</f>
        <v>0</v>
      </c>
      <c r="K44" s="91">
        <f>SUM(COUNTIFS('SERVICE ENTRY'!$AW$4:$AW$1200,{"Transportation","Interpretation/translation services","Co-pay/deductible assistance","Daily living expenses","Childcare"},'SERVICE ENTRY'!$C$4:$C$1200,'County Report'!A44))+SUM(COUNTIFS('SERVICE ENTRY'!$AX$4:$AX$1200,{"Transportation","Interpretation/translation services","Co-pay/deductible assistance","Daily living expenses","Childcare"},'SERVICE ENTRY'!$C$4:$C$1200,'County Report'!A44))+SUM(COUNTIFS('SERVICE ENTRY'!$AY$4:$AY$1200,{"Transportation","Interpretation/translation services","Co-pay/deductible assistance","Daily living expenses","Childcare"},'SERVICE ENTRY'!$C$4:$C$1200,'County Report'!A44))+SUM(COUNTIFS('SERVICE ENTRY'!$AZ$4:$AZ$1200,{"Transportation","Interpretation/translation services","Co-pay/deductible assistance","Daily living expenses","Childcare"},'SERVICE ENTRY'!$C$4:$C$1200,'County Report'!A44))+SUM(COUNTIFS('SERVICE ENTRY'!$BA$4:$BA$1200,{"Transportation","Interpretation/translation services","Co-pay/deductible assistance","Daily living expenses","Childcare"},'SERVICE ENTRY'!$C$4:$C$1200,'County Report'!A44))</f>
        <v>0</v>
      </c>
      <c r="L44" s="187"/>
    </row>
    <row r="45" spans="1:12" x14ac:dyDescent="0.25">
      <c r="A45" s="167" t="s">
        <v>666</v>
      </c>
      <c r="B45" s="91">
        <f>COUNTIF('SERVICE ENTRY'!$C$4:$C$1200,'County Report'!A45)</f>
        <v>0</v>
      </c>
      <c r="C45" s="124">
        <f>SUMIF('SERVICE ENTRY'!$C$4:$C$1200,'County Report'!A45,'SERVICE ENTRY'!$N$4:$N$1200)</f>
        <v>0</v>
      </c>
      <c r="D45" s="91">
        <f>SUM(COUNTIFS('SERVICE ENTRY'!$C$4:$C$1200,'County Report'!A45,'SERVICE ENTRY'!$AC$4:$AC$1200,{"Mammogram","Clinical breast exam","Genetic testing/counseling"}),COUNTIFS('SERVICE ENTRY'!$C$4:$C$1200,'County Report'!A45,'SERVICE ENTRY'!$AD$4:$AD$1200,{"Mammogram","Clinical breast exam","Genetic testing/counseling"}))</f>
        <v>0</v>
      </c>
      <c r="E45" s="91">
        <f>COUNTIFS('SERVICE ENTRY'!$C$4:$C$1200,'County Report'!A45,'SERVICE ENTRY'!$BB$4:$BB$1200,"0-30 days")+COUNTIFS('SERVICE ENTRY'!$C$4:$C$1200,'County Report'!A45,'SERVICE ENTRY'!$BB$4:$BB$1200,"31-60 days")+COUNTIFS('SERVICE ENTRY'!$C$4:$C$1200,'County Report'!A45,'SERVICE ENTRY'!$BB$4:$BB$1200,"61-90 days")++COUNTIFS('SERVICE ENTRY'!$C$4:$C$1200,'County Report'!A45,'SERVICE ENTRY'!$BB$4:$BB$1200,"More than 90 days")+COUNTIFS('SERVICE ENTRY'!$C$4:$C$1200,'County Report'!A45,'SERVICE ENTRY'!$BB$4:$BB$1200,"Unknown")</f>
        <v>0</v>
      </c>
      <c r="F45" s="91">
        <f>SUM(COUNTIFS('SERVICE ENTRY'!$AJ$4:$AJ$1200,{"Diagnostic mammogram","Breast ultrasound","Biopsy","Breast MRI","Genomic testing to guide treatment"},'SERVICE ENTRY'!$C$4:$C$1200,'County Report'!A45))+SUM(COUNTIFS('SERVICE ENTRY'!$AK$4:$AK$1200,{"Diagnostic mammogram","Breast ultrasound","Biopsy","Breast MRI","Genomic testing to guide treatment"},'SERVICE ENTRY'!$C$4:$C$1200,'County Report'!A45))</f>
        <v>0</v>
      </c>
      <c r="G45" s="239">
        <f>SUM(COUNTIFS('SERVICE ENTRY'!$C$4:$C$1200,'County Report'!A45,'SERVICE ENTRY'!$BE$4:$BE$1200,{"0-30 days","31-60 days","61-90 days","More than 90 days","Unknown"}))</f>
        <v>0</v>
      </c>
      <c r="H45" s="91">
        <f>SUM(COUNTIFS('SERVICE ENTRY'!$AP$4:$AP$1200,{"Chemotherapy","Radiation therapy","Surgery","Hormone therapy","Targeted Therapy"},'SERVICE ENTRY'!$C$4:$C$1200,'County Report'!A45))+SUM(COUNTIFS('SERVICE ENTRY'!$AQ$4:$AQ$1200,{"Chemotherapy","Radiation therapy","Surgery","Hormone therapy","Targeted Therapy"},'SERVICE ENTRY'!$C$4:$C$1200,'County Report'!A45))+SUM(COUNTIFS('SERVICE ENTRY'!$AR$4:$AR$1200,{"Chemotherapy","Radiation therapy","Surgery","Hormone therapy","Targeted Therapy"},'SERVICE ENTRY'!$C$4:$C$1200,'County Report'!A45))</f>
        <v>0</v>
      </c>
      <c r="I45" s="91">
        <f>SUM(COUNTIFS('SERVICE ENTRY'!$C$4:$C$1200,'County Report'!A45,'SERVICE ENTRY'!$BH$4:$BH$1200,{"0-30 days","31-60 days","61-90 days","More than 90 days","Unknown"}))</f>
        <v>0</v>
      </c>
      <c r="J45"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Report'!A45))+SUM(COUNTIFS('SERVICE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Report'!A45))+SUM(COUNTIFS('SERVICE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Report'!A45))</f>
        <v>0</v>
      </c>
      <c r="K45" s="91">
        <f>SUM(COUNTIFS('SERVICE ENTRY'!$AW$4:$AW$1200,{"Transportation","Interpretation/translation services","Co-pay/deductible assistance","Daily living expenses","Childcare"},'SERVICE ENTRY'!$C$4:$C$1200,'County Report'!A45))+SUM(COUNTIFS('SERVICE ENTRY'!$AX$4:$AX$1200,{"Transportation","Interpretation/translation services","Co-pay/deductible assistance","Daily living expenses","Childcare"},'SERVICE ENTRY'!$C$4:$C$1200,'County Report'!A45))+SUM(COUNTIFS('SERVICE ENTRY'!$AY$4:$AY$1200,{"Transportation","Interpretation/translation services","Co-pay/deductible assistance","Daily living expenses","Childcare"},'SERVICE ENTRY'!$C$4:$C$1200,'County Report'!A45))+SUM(COUNTIFS('SERVICE ENTRY'!$AZ$4:$AZ$1200,{"Transportation","Interpretation/translation services","Co-pay/deductible assistance","Daily living expenses","Childcare"},'SERVICE ENTRY'!$C$4:$C$1200,'County Report'!A45))+SUM(COUNTIFS('SERVICE ENTRY'!$BA$4:$BA$1200,{"Transportation","Interpretation/translation services","Co-pay/deductible assistance","Daily living expenses","Childcare"},'SERVICE ENTRY'!$C$4:$C$1200,'County Report'!A45))</f>
        <v>0</v>
      </c>
      <c r="L45" s="187"/>
    </row>
    <row r="46" spans="1:12" x14ac:dyDescent="0.25">
      <c r="A46" s="167" t="s">
        <v>667</v>
      </c>
      <c r="B46" s="91">
        <f>COUNTIF('SERVICE ENTRY'!$C$4:$C$1200,'County Report'!A46)</f>
        <v>0</v>
      </c>
      <c r="C46" s="124">
        <f>SUMIF('SERVICE ENTRY'!$C$4:$C$1200,'County Report'!A46,'SERVICE ENTRY'!$N$4:$N$1200)</f>
        <v>0</v>
      </c>
      <c r="D46" s="91">
        <f>SUM(COUNTIFS('SERVICE ENTRY'!$C$4:$C$1200,'County Report'!A46,'SERVICE ENTRY'!$AC$4:$AC$1200,{"Mammogram","Clinical breast exam","Genetic testing/counseling"}),COUNTIFS('SERVICE ENTRY'!$C$4:$C$1200,'County Report'!A46,'SERVICE ENTRY'!$AD$4:$AD$1200,{"Mammogram","Clinical breast exam","Genetic testing/counseling"}))</f>
        <v>0</v>
      </c>
      <c r="E46" s="91">
        <f>COUNTIFS('SERVICE ENTRY'!$C$4:$C$1200,'County Report'!A46,'SERVICE ENTRY'!$BB$4:$BB$1200,"0-30 days")+COUNTIFS('SERVICE ENTRY'!$C$4:$C$1200,'County Report'!A46,'SERVICE ENTRY'!$BB$4:$BB$1200,"31-60 days")+COUNTIFS('SERVICE ENTRY'!$C$4:$C$1200,'County Report'!A46,'SERVICE ENTRY'!$BB$4:$BB$1200,"61-90 days")++COUNTIFS('SERVICE ENTRY'!$C$4:$C$1200,'County Report'!A46,'SERVICE ENTRY'!$BB$4:$BB$1200,"More than 90 days")+COUNTIFS('SERVICE ENTRY'!$C$4:$C$1200,'County Report'!A46,'SERVICE ENTRY'!$BB$4:$BB$1200,"Unknown")</f>
        <v>0</v>
      </c>
      <c r="F46" s="91">
        <f>SUM(COUNTIFS('SERVICE ENTRY'!$AJ$4:$AJ$1200,{"Diagnostic mammogram","Breast ultrasound","Biopsy","Breast MRI","Genomic testing to guide treatment"},'SERVICE ENTRY'!$C$4:$C$1200,'County Report'!A46))+SUM(COUNTIFS('SERVICE ENTRY'!$AK$4:$AK$1200,{"Diagnostic mammogram","Breast ultrasound","Biopsy","Breast MRI","Genomic testing to guide treatment"},'SERVICE ENTRY'!$C$4:$C$1200,'County Report'!A46))</f>
        <v>0</v>
      </c>
      <c r="G46" s="239">
        <f>SUM(COUNTIFS('SERVICE ENTRY'!$C$4:$C$1200,'County Report'!A46,'SERVICE ENTRY'!$BE$4:$BE$1200,{"0-30 days","31-60 days","61-90 days","More than 90 days","Unknown"}))</f>
        <v>0</v>
      </c>
      <c r="H46" s="91">
        <f>SUM(COUNTIFS('SERVICE ENTRY'!$AP$4:$AP$1200,{"Chemotherapy","Radiation therapy","Surgery","Hormone therapy","Targeted Therapy"},'SERVICE ENTRY'!$C$4:$C$1200,'County Report'!A46))+SUM(COUNTIFS('SERVICE ENTRY'!$AQ$4:$AQ$1200,{"Chemotherapy","Radiation therapy","Surgery","Hormone therapy","Targeted Therapy"},'SERVICE ENTRY'!$C$4:$C$1200,'County Report'!A46))+SUM(COUNTIFS('SERVICE ENTRY'!$AR$4:$AR$1200,{"Chemotherapy","Radiation therapy","Surgery","Hormone therapy","Targeted Therapy"},'SERVICE ENTRY'!$C$4:$C$1200,'County Report'!A46))</f>
        <v>0</v>
      </c>
      <c r="I46" s="91">
        <f>SUM(COUNTIFS('SERVICE ENTRY'!$C$4:$C$1200,'County Report'!A46,'SERVICE ENTRY'!$BH$4:$BH$1200,{"0-30 days","31-60 days","61-90 days","More than 90 days","Unknown"}))</f>
        <v>0</v>
      </c>
      <c r="J46"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Report'!A46))+SUM(COUNTIFS('SERVICE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Report'!A46))+SUM(COUNTIFS('SERVICE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Report'!A46))</f>
        <v>0</v>
      </c>
      <c r="K46" s="91">
        <f>SUM(COUNTIFS('SERVICE ENTRY'!$AW$4:$AW$1200,{"Transportation","Interpretation/translation services","Co-pay/deductible assistance","Daily living expenses","Childcare"},'SERVICE ENTRY'!$C$4:$C$1200,'County Report'!A46))+SUM(COUNTIFS('SERVICE ENTRY'!$AX$4:$AX$1200,{"Transportation","Interpretation/translation services","Co-pay/deductible assistance","Daily living expenses","Childcare"},'SERVICE ENTRY'!$C$4:$C$1200,'County Report'!A46))+SUM(COUNTIFS('SERVICE ENTRY'!$AY$4:$AY$1200,{"Transportation","Interpretation/translation services","Co-pay/deductible assistance","Daily living expenses","Childcare"},'SERVICE ENTRY'!$C$4:$C$1200,'County Report'!A46))+SUM(COUNTIFS('SERVICE ENTRY'!$AZ$4:$AZ$1200,{"Transportation","Interpretation/translation services","Co-pay/deductible assistance","Daily living expenses","Childcare"},'SERVICE ENTRY'!$C$4:$C$1200,'County Report'!A46))+SUM(COUNTIFS('SERVICE ENTRY'!$BA$4:$BA$1200,{"Transportation","Interpretation/translation services","Co-pay/deductible assistance","Daily living expenses","Childcare"},'SERVICE ENTRY'!$C$4:$C$1200,'County Report'!A46))</f>
        <v>0</v>
      </c>
      <c r="L46" s="187"/>
    </row>
    <row r="47" spans="1:12" x14ac:dyDescent="0.25">
      <c r="A47" s="167" t="s">
        <v>668</v>
      </c>
      <c r="B47" s="91">
        <f>COUNTIF('SERVICE ENTRY'!$C$4:$C$1200,'County Report'!A47)</f>
        <v>0</v>
      </c>
      <c r="C47" s="124">
        <f>SUMIF('SERVICE ENTRY'!$C$4:$C$1200,'County Report'!A47,'SERVICE ENTRY'!$N$4:$N$1200)</f>
        <v>0</v>
      </c>
      <c r="D47" s="91">
        <f>SUM(COUNTIFS('SERVICE ENTRY'!$C$4:$C$1200,'County Report'!A47,'SERVICE ENTRY'!$AC$4:$AC$1200,{"Mammogram","Clinical breast exam","Genetic testing/counseling"}),COUNTIFS('SERVICE ENTRY'!$C$4:$C$1200,'County Report'!A47,'SERVICE ENTRY'!$AD$4:$AD$1200,{"Mammogram","Clinical breast exam","Genetic testing/counseling"}))</f>
        <v>0</v>
      </c>
      <c r="E47" s="91">
        <f>COUNTIFS('SERVICE ENTRY'!$C$4:$C$1200,'County Report'!A47,'SERVICE ENTRY'!$BB$4:$BB$1200,"0-30 days")+COUNTIFS('SERVICE ENTRY'!$C$4:$C$1200,'County Report'!A47,'SERVICE ENTRY'!$BB$4:$BB$1200,"31-60 days")+COUNTIFS('SERVICE ENTRY'!$C$4:$C$1200,'County Report'!A47,'SERVICE ENTRY'!$BB$4:$BB$1200,"61-90 days")++COUNTIFS('SERVICE ENTRY'!$C$4:$C$1200,'County Report'!A47,'SERVICE ENTRY'!$BB$4:$BB$1200,"More than 90 days")+COUNTIFS('SERVICE ENTRY'!$C$4:$C$1200,'County Report'!A47,'SERVICE ENTRY'!$BB$4:$BB$1200,"Unknown")</f>
        <v>0</v>
      </c>
      <c r="F47" s="91">
        <f>SUM(COUNTIFS('SERVICE ENTRY'!$AJ$4:$AJ$1200,{"Diagnostic mammogram","Breast ultrasound","Biopsy","Breast MRI","Genomic testing to guide treatment"},'SERVICE ENTRY'!$C$4:$C$1200,'County Report'!A47))+SUM(COUNTIFS('SERVICE ENTRY'!$AK$4:$AK$1200,{"Diagnostic mammogram","Breast ultrasound","Biopsy","Breast MRI","Genomic testing to guide treatment"},'SERVICE ENTRY'!$C$4:$C$1200,'County Report'!A47))</f>
        <v>0</v>
      </c>
      <c r="G47" s="239">
        <f>SUM(COUNTIFS('SERVICE ENTRY'!$C$4:$C$1200,'County Report'!A47,'SERVICE ENTRY'!$BE$4:$BE$1200,{"0-30 days","31-60 days","61-90 days","More than 90 days","Unknown"}))</f>
        <v>0</v>
      </c>
      <c r="H47" s="91">
        <f>SUM(COUNTIFS('SERVICE ENTRY'!$AP$4:$AP$1200,{"Chemotherapy","Radiation therapy","Surgery","Hormone therapy","Targeted Therapy"},'SERVICE ENTRY'!$C$4:$C$1200,'County Report'!A47))+SUM(COUNTIFS('SERVICE ENTRY'!$AQ$4:$AQ$1200,{"Chemotherapy","Radiation therapy","Surgery","Hormone therapy","Targeted Therapy"},'SERVICE ENTRY'!$C$4:$C$1200,'County Report'!A47))+SUM(COUNTIFS('SERVICE ENTRY'!$AR$4:$AR$1200,{"Chemotherapy","Radiation therapy","Surgery","Hormone therapy","Targeted Therapy"},'SERVICE ENTRY'!$C$4:$C$1200,'County Report'!A47))</f>
        <v>0</v>
      </c>
      <c r="I47" s="91">
        <f>SUM(COUNTIFS('SERVICE ENTRY'!$C$4:$C$1200,'County Report'!A47,'SERVICE ENTRY'!$BH$4:$BH$1200,{"0-30 days","31-60 days","61-90 days","More than 90 days","Unknown"}))</f>
        <v>0</v>
      </c>
      <c r="J47"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Report'!A47))+SUM(COUNTIFS('SERVICE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Report'!A47))+SUM(COUNTIFS('SERVICE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Report'!A47))</f>
        <v>0</v>
      </c>
      <c r="K47" s="91">
        <f>SUM(COUNTIFS('SERVICE ENTRY'!$AW$4:$AW$1200,{"Transportation","Interpretation/translation services","Co-pay/deductible assistance","Daily living expenses","Childcare"},'SERVICE ENTRY'!$C$4:$C$1200,'County Report'!A47))+SUM(COUNTIFS('SERVICE ENTRY'!$AX$4:$AX$1200,{"Transportation","Interpretation/translation services","Co-pay/deductible assistance","Daily living expenses","Childcare"},'SERVICE ENTRY'!$C$4:$C$1200,'County Report'!A47))+SUM(COUNTIFS('SERVICE ENTRY'!$AY$4:$AY$1200,{"Transportation","Interpretation/translation services","Co-pay/deductible assistance","Daily living expenses","Childcare"},'SERVICE ENTRY'!$C$4:$C$1200,'County Report'!A47))+SUM(COUNTIFS('SERVICE ENTRY'!$AZ$4:$AZ$1200,{"Transportation","Interpretation/translation services","Co-pay/deductible assistance","Daily living expenses","Childcare"},'SERVICE ENTRY'!$C$4:$C$1200,'County Report'!A47))+SUM(COUNTIFS('SERVICE ENTRY'!$BA$4:$BA$1200,{"Transportation","Interpretation/translation services","Co-pay/deductible assistance","Daily living expenses","Childcare"},'SERVICE ENTRY'!$C$4:$C$1200,'County Report'!A47))</f>
        <v>0</v>
      </c>
      <c r="L47" s="187"/>
    </row>
    <row r="48" spans="1:12" x14ac:dyDescent="0.25">
      <c r="A48" s="167" t="s">
        <v>669</v>
      </c>
      <c r="B48" s="91">
        <f>COUNTIF('SERVICE ENTRY'!$C$4:$C$1200,'County Report'!A48)</f>
        <v>0</v>
      </c>
      <c r="C48" s="124">
        <f>SUMIF('SERVICE ENTRY'!$C$4:$C$1200,'County Report'!A48,'SERVICE ENTRY'!$N$4:$N$1200)</f>
        <v>0</v>
      </c>
      <c r="D48" s="91">
        <f>SUM(COUNTIFS('SERVICE ENTRY'!$C$4:$C$1200,'County Report'!A48,'SERVICE ENTRY'!$AC$4:$AC$1200,{"Mammogram","Clinical breast exam","Genetic testing/counseling"}),COUNTIFS('SERVICE ENTRY'!$C$4:$C$1200,'County Report'!A48,'SERVICE ENTRY'!$AD$4:$AD$1200,{"Mammogram","Clinical breast exam","Genetic testing/counseling"}))</f>
        <v>0</v>
      </c>
      <c r="E48" s="91">
        <f>COUNTIFS('SERVICE ENTRY'!$C$4:$C$1200,'County Report'!A48,'SERVICE ENTRY'!$BB$4:$BB$1200,"0-30 days")+COUNTIFS('SERVICE ENTRY'!$C$4:$C$1200,'County Report'!A48,'SERVICE ENTRY'!$BB$4:$BB$1200,"31-60 days")+COUNTIFS('SERVICE ENTRY'!$C$4:$C$1200,'County Report'!A48,'SERVICE ENTRY'!$BB$4:$BB$1200,"61-90 days")++COUNTIFS('SERVICE ENTRY'!$C$4:$C$1200,'County Report'!A48,'SERVICE ENTRY'!$BB$4:$BB$1200,"More than 90 days")+COUNTIFS('SERVICE ENTRY'!$C$4:$C$1200,'County Report'!A48,'SERVICE ENTRY'!$BB$4:$BB$1200,"Unknown")</f>
        <v>0</v>
      </c>
      <c r="F48" s="91">
        <f>SUM(COUNTIFS('SERVICE ENTRY'!$AJ$4:$AJ$1200,{"Diagnostic mammogram","Breast ultrasound","Biopsy","Breast MRI","Genomic testing to guide treatment"},'SERVICE ENTRY'!$C$4:$C$1200,'County Report'!A48))+SUM(COUNTIFS('SERVICE ENTRY'!$AK$4:$AK$1200,{"Diagnostic mammogram","Breast ultrasound","Biopsy","Breast MRI","Genomic testing to guide treatment"},'SERVICE ENTRY'!$C$4:$C$1200,'County Report'!A48))</f>
        <v>0</v>
      </c>
      <c r="G48" s="239">
        <f>SUM(COUNTIFS('SERVICE ENTRY'!$C$4:$C$1200,'County Report'!A48,'SERVICE ENTRY'!$BE$4:$BE$1200,{"0-30 days","31-60 days","61-90 days","More than 90 days","Unknown"}))</f>
        <v>0</v>
      </c>
      <c r="H48" s="91">
        <f>SUM(COUNTIFS('SERVICE ENTRY'!$AP$4:$AP$1200,{"Chemotherapy","Radiation therapy","Surgery","Hormone therapy","Targeted Therapy"},'SERVICE ENTRY'!$C$4:$C$1200,'County Report'!A48))+SUM(COUNTIFS('SERVICE ENTRY'!$AQ$4:$AQ$1200,{"Chemotherapy","Radiation therapy","Surgery","Hormone therapy","Targeted Therapy"},'SERVICE ENTRY'!$C$4:$C$1200,'County Report'!A48))+SUM(COUNTIFS('SERVICE ENTRY'!$AR$4:$AR$1200,{"Chemotherapy","Radiation therapy","Surgery","Hormone therapy","Targeted Therapy"},'SERVICE ENTRY'!$C$4:$C$1200,'County Report'!A48))</f>
        <v>0</v>
      </c>
      <c r="I48" s="91">
        <f>SUM(COUNTIFS('SERVICE ENTRY'!$C$4:$C$1200,'County Report'!A48,'SERVICE ENTRY'!$BH$4:$BH$1200,{"0-30 days","31-60 days","61-90 days","More than 90 days","Unknown"}))</f>
        <v>0</v>
      </c>
      <c r="J48"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Report'!A48))+SUM(COUNTIFS('SERVICE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Report'!A48))+SUM(COUNTIFS('SERVICE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Report'!A48))</f>
        <v>0</v>
      </c>
      <c r="K48" s="91">
        <f>SUM(COUNTIFS('SERVICE ENTRY'!$AW$4:$AW$1200,{"Transportation","Interpretation/translation services","Co-pay/deductible assistance","Daily living expenses","Childcare"},'SERVICE ENTRY'!$C$4:$C$1200,'County Report'!A48))+SUM(COUNTIFS('SERVICE ENTRY'!$AX$4:$AX$1200,{"Transportation","Interpretation/translation services","Co-pay/deductible assistance","Daily living expenses","Childcare"},'SERVICE ENTRY'!$C$4:$C$1200,'County Report'!A48))+SUM(COUNTIFS('SERVICE ENTRY'!$AY$4:$AY$1200,{"Transportation","Interpretation/translation services","Co-pay/deductible assistance","Daily living expenses","Childcare"},'SERVICE ENTRY'!$C$4:$C$1200,'County Report'!A48))+SUM(COUNTIFS('SERVICE ENTRY'!$AZ$4:$AZ$1200,{"Transportation","Interpretation/translation services","Co-pay/deductible assistance","Daily living expenses","Childcare"},'SERVICE ENTRY'!$C$4:$C$1200,'County Report'!A48))+SUM(COUNTIFS('SERVICE ENTRY'!$BA$4:$BA$1200,{"Transportation","Interpretation/translation services","Co-pay/deductible assistance","Daily living expenses","Childcare"},'SERVICE ENTRY'!$C$4:$C$1200,'County Report'!A48))</f>
        <v>0</v>
      </c>
      <c r="L48" s="187"/>
    </row>
    <row r="49" spans="1:12" x14ac:dyDescent="0.25">
      <c r="A49" s="167" t="s">
        <v>670</v>
      </c>
      <c r="B49" s="91">
        <f>COUNTIF('SERVICE ENTRY'!$C$4:$C$1200,'County Report'!A49)</f>
        <v>0</v>
      </c>
      <c r="C49" s="124">
        <f>SUMIF('SERVICE ENTRY'!$C$4:$C$1200,'County Report'!A49,'SERVICE ENTRY'!$N$4:$N$1200)</f>
        <v>0</v>
      </c>
      <c r="D49" s="91">
        <f>SUM(COUNTIFS('SERVICE ENTRY'!$C$4:$C$1200,'County Report'!A49,'SERVICE ENTRY'!$AC$4:$AC$1200,{"Mammogram","Clinical breast exam","Genetic testing/counseling"}),COUNTIFS('SERVICE ENTRY'!$C$4:$C$1200,'County Report'!A49,'SERVICE ENTRY'!$AD$4:$AD$1200,{"Mammogram","Clinical breast exam","Genetic testing/counseling"}))</f>
        <v>0</v>
      </c>
      <c r="E49" s="91">
        <f>COUNTIFS('SERVICE ENTRY'!$C$4:$C$1200,'County Report'!A49,'SERVICE ENTRY'!$BB$4:$BB$1200,"0-30 days")+COUNTIFS('SERVICE ENTRY'!$C$4:$C$1200,'County Report'!A49,'SERVICE ENTRY'!$BB$4:$BB$1200,"31-60 days")+COUNTIFS('SERVICE ENTRY'!$C$4:$C$1200,'County Report'!A49,'SERVICE ENTRY'!$BB$4:$BB$1200,"61-90 days")++COUNTIFS('SERVICE ENTRY'!$C$4:$C$1200,'County Report'!A49,'SERVICE ENTRY'!$BB$4:$BB$1200,"More than 90 days")+COUNTIFS('SERVICE ENTRY'!$C$4:$C$1200,'County Report'!A49,'SERVICE ENTRY'!$BB$4:$BB$1200,"Unknown")</f>
        <v>0</v>
      </c>
      <c r="F49" s="91">
        <f>SUM(COUNTIFS('SERVICE ENTRY'!$AJ$4:$AJ$1200,{"Diagnostic mammogram","Breast ultrasound","Biopsy","Breast MRI","Genomic testing to guide treatment"},'SERVICE ENTRY'!$C$4:$C$1200,'County Report'!A49))+SUM(COUNTIFS('SERVICE ENTRY'!$AK$4:$AK$1200,{"Diagnostic mammogram","Breast ultrasound","Biopsy","Breast MRI","Genomic testing to guide treatment"},'SERVICE ENTRY'!$C$4:$C$1200,'County Report'!A49))</f>
        <v>0</v>
      </c>
      <c r="G49" s="239">
        <f>SUM(COUNTIFS('SERVICE ENTRY'!$C$4:$C$1200,'County Report'!A49,'SERVICE ENTRY'!$BE$4:$BE$1200,{"0-30 days","31-60 days","61-90 days","More than 90 days","Unknown"}))</f>
        <v>0</v>
      </c>
      <c r="H49" s="91">
        <f>SUM(COUNTIFS('SERVICE ENTRY'!$AP$4:$AP$1200,{"Chemotherapy","Radiation therapy","Surgery","Hormone therapy","Targeted Therapy"},'SERVICE ENTRY'!$C$4:$C$1200,'County Report'!A49))+SUM(COUNTIFS('SERVICE ENTRY'!$AQ$4:$AQ$1200,{"Chemotherapy","Radiation therapy","Surgery","Hormone therapy","Targeted Therapy"},'SERVICE ENTRY'!$C$4:$C$1200,'County Report'!A49))+SUM(COUNTIFS('SERVICE ENTRY'!$AR$4:$AR$1200,{"Chemotherapy","Radiation therapy","Surgery","Hormone therapy","Targeted Therapy"},'SERVICE ENTRY'!$C$4:$C$1200,'County Report'!A49))</f>
        <v>0</v>
      </c>
      <c r="I49" s="91">
        <f>SUM(COUNTIFS('SERVICE ENTRY'!$C$4:$C$1200,'County Report'!A49,'SERVICE ENTRY'!$BH$4:$BH$1200,{"0-30 days","31-60 days","61-90 days","More than 90 days","Unknown"}))</f>
        <v>0</v>
      </c>
      <c r="J49"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Report'!A49))+SUM(COUNTIFS('SERVICE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Report'!A49))+SUM(COUNTIFS('SERVICE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Report'!A49))</f>
        <v>0</v>
      </c>
      <c r="K49" s="91">
        <f>SUM(COUNTIFS('SERVICE ENTRY'!$AW$4:$AW$1200,{"Transportation","Interpretation/translation services","Co-pay/deductible assistance","Daily living expenses","Childcare"},'SERVICE ENTRY'!$C$4:$C$1200,'County Report'!A49))+SUM(COUNTIFS('SERVICE ENTRY'!$AX$4:$AX$1200,{"Transportation","Interpretation/translation services","Co-pay/deductible assistance","Daily living expenses","Childcare"},'SERVICE ENTRY'!$C$4:$C$1200,'County Report'!A49))+SUM(COUNTIFS('SERVICE ENTRY'!$AY$4:$AY$1200,{"Transportation","Interpretation/translation services","Co-pay/deductible assistance","Daily living expenses","Childcare"},'SERVICE ENTRY'!$C$4:$C$1200,'County Report'!A49))+SUM(COUNTIFS('SERVICE ENTRY'!$AZ$4:$AZ$1200,{"Transportation","Interpretation/translation services","Co-pay/deductible assistance","Daily living expenses","Childcare"},'SERVICE ENTRY'!$C$4:$C$1200,'County Report'!A49))+SUM(COUNTIFS('SERVICE ENTRY'!$BA$4:$BA$1200,{"Transportation","Interpretation/translation services","Co-pay/deductible assistance","Daily living expenses","Childcare"},'SERVICE ENTRY'!$C$4:$C$1200,'County Report'!A49))</f>
        <v>0</v>
      </c>
      <c r="L49" s="187"/>
    </row>
    <row r="50" spans="1:12" x14ac:dyDescent="0.25">
      <c r="A50" s="167" t="s">
        <v>671</v>
      </c>
      <c r="B50" s="91">
        <f>COUNTIF('SERVICE ENTRY'!$C$4:$C$1200,'County Report'!A50)</f>
        <v>0</v>
      </c>
      <c r="C50" s="124">
        <f>SUMIF('SERVICE ENTRY'!$C$4:$C$1200,'County Report'!A50,'SERVICE ENTRY'!$N$4:$N$1200)</f>
        <v>0</v>
      </c>
      <c r="D50" s="91">
        <f>SUM(COUNTIFS('SERVICE ENTRY'!$C$4:$C$1200,'County Report'!A50,'SERVICE ENTRY'!$AC$4:$AC$1200,{"Mammogram","Clinical breast exam","Genetic testing/counseling"}),COUNTIFS('SERVICE ENTRY'!$C$4:$C$1200,'County Report'!A50,'SERVICE ENTRY'!$AD$4:$AD$1200,{"Mammogram","Clinical breast exam","Genetic testing/counseling"}))</f>
        <v>0</v>
      </c>
      <c r="E50" s="91">
        <f>COUNTIFS('SERVICE ENTRY'!$C$4:$C$1200,'County Report'!A50,'SERVICE ENTRY'!$BB$4:$BB$1200,"0-30 days")+COUNTIFS('SERVICE ENTRY'!$C$4:$C$1200,'County Report'!A50,'SERVICE ENTRY'!$BB$4:$BB$1200,"31-60 days")+COUNTIFS('SERVICE ENTRY'!$C$4:$C$1200,'County Report'!A50,'SERVICE ENTRY'!$BB$4:$BB$1200,"61-90 days")++COUNTIFS('SERVICE ENTRY'!$C$4:$C$1200,'County Report'!A50,'SERVICE ENTRY'!$BB$4:$BB$1200,"More than 90 days")+COUNTIFS('SERVICE ENTRY'!$C$4:$C$1200,'County Report'!A50,'SERVICE ENTRY'!$BB$4:$BB$1200,"Unknown")</f>
        <v>0</v>
      </c>
      <c r="F50" s="91">
        <f>SUM(COUNTIFS('SERVICE ENTRY'!$AJ$4:$AJ$1200,{"Diagnostic mammogram","Breast ultrasound","Biopsy","Breast MRI","Genomic testing to guide treatment"},'SERVICE ENTRY'!$C$4:$C$1200,'County Report'!A50))+SUM(COUNTIFS('SERVICE ENTRY'!$AK$4:$AK$1200,{"Diagnostic mammogram","Breast ultrasound","Biopsy","Breast MRI","Genomic testing to guide treatment"},'SERVICE ENTRY'!$C$4:$C$1200,'County Report'!A50))</f>
        <v>0</v>
      </c>
      <c r="G50" s="239">
        <f>SUM(COUNTIFS('SERVICE ENTRY'!$C$4:$C$1200,'County Report'!A50,'SERVICE ENTRY'!$BE$4:$BE$1200,{"0-30 days","31-60 days","61-90 days","More than 90 days","Unknown"}))</f>
        <v>0</v>
      </c>
      <c r="H50" s="91">
        <f>SUM(COUNTIFS('SERVICE ENTRY'!$AP$4:$AP$1200,{"Chemotherapy","Radiation therapy","Surgery","Hormone therapy","Targeted Therapy"},'SERVICE ENTRY'!$C$4:$C$1200,'County Report'!A50))+SUM(COUNTIFS('SERVICE ENTRY'!$AQ$4:$AQ$1200,{"Chemotherapy","Radiation therapy","Surgery","Hormone therapy","Targeted Therapy"},'SERVICE ENTRY'!$C$4:$C$1200,'County Report'!A50))+SUM(COUNTIFS('SERVICE ENTRY'!$AR$4:$AR$1200,{"Chemotherapy","Radiation therapy","Surgery","Hormone therapy","Targeted Therapy"},'SERVICE ENTRY'!$C$4:$C$1200,'County Report'!A50))</f>
        <v>0</v>
      </c>
      <c r="I50" s="91">
        <f>SUM(COUNTIFS('SERVICE ENTRY'!$C$4:$C$1200,'County Report'!A50,'SERVICE ENTRY'!$BH$4:$BH$1200,{"0-30 days","31-60 days","61-90 days","More than 90 days","Unknown"}))</f>
        <v>0</v>
      </c>
      <c r="J50"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Report'!A50))+SUM(COUNTIFS('SERVICE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Report'!A50))+SUM(COUNTIFS('SERVICE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Report'!A50))</f>
        <v>0</v>
      </c>
      <c r="K50" s="91">
        <f>SUM(COUNTIFS('SERVICE ENTRY'!$AW$4:$AW$1200,{"Transportation","Interpretation/translation services","Co-pay/deductible assistance","Daily living expenses","Childcare"},'SERVICE ENTRY'!$C$4:$C$1200,'County Report'!A50))+SUM(COUNTIFS('SERVICE ENTRY'!$AX$4:$AX$1200,{"Transportation","Interpretation/translation services","Co-pay/deductible assistance","Daily living expenses","Childcare"},'SERVICE ENTRY'!$C$4:$C$1200,'County Report'!A50))+SUM(COUNTIFS('SERVICE ENTRY'!$AY$4:$AY$1200,{"Transportation","Interpretation/translation services","Co-pay/deductible assistance","Daily living expenses","Childcare"},'SERVICE ENTRY'!$C$4:$C$1200,'County Report'!A50))+SUM(COUNTIFS('SERVICE ENTRY'!$AZ$4:$AZ$1200,{"Transportation","Interpretation/translation services","Co-pay/deductible assistance","Daily living expenses","Childcare"},'SERVICE ENTRY'!$C$4:$C$1200,'County Report'!A50))+SUM(COUNTIFS('SERVICE ENTRY'!$BA$4:$BA$1200,{"Transportation","Interpretation/translation services","Co-pay/deductible assistance","Daily living expenses","Childcare"},'SERVICE ENTRY'!$C$4:$C$1200,'County Report'!A50))</f>
        <v>0</v>
      </c>
      <c r="L50" s="187"/>
    </row>
    <row r="51" spans="1:12" x14ac:dyDescent="0.25">
      <c r="A51" s="167" t="s">
        <v>672</v>
      </c>
      <c r="B51" s="91">
        <f>COUNTIF('SERVICE ENTRY'!$C$4:$C$1200,'County Report'!A51)</f>
        <v>0</v>
      </c>
      <c r="C51" s="124">
        <f>SUMIF('SERVICE ENTRY'!$C$4:$C$1200,'County Report'!A51,'SERVICE ENTRY'!$N$4:$N$1200)</f>
        <v>0</v>
      </c>
      <c r="D51" s="91">
        <f>SUM(COUNTIFS('SERVICE ENTRY'!$C$4:$C$1200,'County Report'!A51,'SERVICE ENTRY'!$AC$4:$AC$1200,{"Mammogram","Clinical breast exam","Genetic testing/counseling"}),COUNTIFS('SERVICE ENTRY'!$C$4:$C$1200,'County Report'!A51,'SERVICE ENTRY'!$AD$4:$AD$1200,{"Mammogram","Clinical breast exam","Genetic testing/counseling"}))</f>
        <v>0</v>
      </c>
      <c r="E51" s="91">
        <f>COUNTIFS('SERVICE ENTRY'!$C$4:$C$1200,'County Report'!A51,'SERVICE ENTRY'!$BB$4:$BB$1200,"0-30 days")+COUNTIFS('SERVICE ENTRY'!$C$4:$C$1200,'County Report'!A51,'SERVICE ENTRY'!$BB$4:$BB$1200,"31-60 days")+COUNTIFS('SERVICE ENTRY'!$C$4:$C$1200,'County Report'!A51,'SERVICE ENTRY'!$BB$4:$BB$1200,"61-90 days")++COUNTIFS('SERVICE ENTRY'!$C$4:$C$1200,'County Report'!A51,'SERVICE ENTRY'!$BB$4:$BB$1200,"More than 90 days")+COUNTIFS('SERVICE ENTRY'!$C$4:$C$1200,'County Report'!A51,'SERVICE ENTRY'!$BB$4:$BB$1200,"Unknown")</f>
        <v>0</v>
      </c>
      <c r="F51" s="91">
        <f>SUM(COUNTIFS('SERVICE ENTRY'!$AJ$4:$AJ$1200,{"Diagnostic mammogram","Breast ultrasound","Biopsy","Breast MRI","Genomic testing to guide treatment"},'SERVICE ENTRY'!$C$4:$C$1200,'County Report'!A51))+SUM(COUNTIFS('SERVICE ENTRY'!$AK$4:$AK$1200,{"Diagnostic mammogram","Breast ultrasound","Biopsy","Breast MRI","Genomic testing to guide treatment"},'SERVICE ENTRY'!$C$4:$C$1200,'County Report'!A51))</f>
        <v>0</v>
      </c>
      <c r="G51" s="239">
        <f>SUM(COUNTIFS('SERVICE ENTRY'!$C$4:$C$1200,'County Report'!A51,'SERVICE ENTRY'!$BE$4:$BE$1200,{"0-30 days","31-60 days","61-90 days","More than 90 days","Unknown"}))</f>
        <v>0</v>
      </c>
      <c r="H51" s="91">
        <f>SUM(COUNTIFS('SERVICE ENTRY'!$AP$4:$AP$1200,{"Chemotherapy","Radiation therapy","Surgery","Hormone therapy","Targeted Therapy"},'SERVICE ENTRY'!$C$4:$C$1200,'County Report'!A51))+SUM(COUNTIFS('SERVICE ENTRY'!$AQ$4:$AQ$1200,{"Chemotherapy","Radiation therapy","Surgery","Hormone therapy","Targeted Therapy"},'SERVICE ENTRY'!$C$4:$C$1200,'County Report'!A51))+SUM(COUNTIFS('SERVICE ENTRY'!$AR$4:$AR$1200,{"Chemotherapy","Radiation therapy","Surgery","Hormone therapy","Targeted Therapy"},'SERVICE ENTRY'!$C$4:$C$1200,'County Report'!A51))</f>
        <v>0</v>
      </c>
      <c r="I51" s="91">
        <f>SUM(COUNTIFS('SERVICE ENTRY'!$C$4:$C$1200,'County Report'!A51,'SERVICE ENTRY'!$BH$4:$BH$1200,{"0-30 days","31-60 days","61-90 days","More than 90 days","Unknown"}))</f>
        <v>0</v>
      </c>
      <c r="J51"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Report'!A51))+SUM(COUNTIFS('SERVICE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Report'!A51))+SUM(COUNTIFS('SERVICE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Report'!A51))</f>
        <v>0</v>
      </c>
      <c r="K51" s="91">
        <f>SUM(COUNTIFS('SERVICE ENTRY'!$AW$4:$AW$1200,{"Transportation","Interpretation/translation services","Co-pay/deductible assistance","Daily living expenses","Childcare"},'SERVICE ENTRY'!$C$4:$C$1200,'County Report'!A51))+SUM(COUNTIFS('SERVICE ENTRY'!$AX$4:$AX$1200,{"Transportation","Interpretation/translation services","Co-pay/deductible assistance","Daily living expenses","Childcare"},'SERVICE ENTRY'!$C$4:$C$1200,'County Report'!A51))+SUM(COUNTIFS('SERVICE ENTRY'!$AY$4:$AY$1200,{"Transportation","Interpretation/translation services","Co-pay/deductible assistance","Daily living expenses","Childcare"},'SERVICE ENTRY'!$C$4:$C$1200,'County Report'!A51))+SUM(COUNTIFS('SERVICE ENTRY'!$AZ$4:$AZ$1200,{"Transportation","Interpretation/translation services","Co-pay/deductible assistance","Daily living expenses","Childcare"},'SERVICE ENTRY'!$C$4:$C$1200,'County Report'!A51))+SUM(COUNTIFS('SERVICE ENTRY'!$BA$4:$BA$1200,{"Transportation","Interpretation/translation services","Co-pay/deductible assistance","Daily living expenses","Childcare"},'SERVICE ENTRY'!$C$4:$C$1200,'County Report'!A51))</f>
        <v>0</v>
      </c>
      <c r="L51" s="187"/>
    </row>
    <row r="52" spans="1:12" x14ac:dyDescent="0.25">
      <c r="A52" s="167" t="s">
        <v>673</v>
      </c>
      <c r="B52" s="91">
        <f>COUNTIF('SERVICE ENTRY'!$C$4:$C$1200,'County Report'!A52)</f>
        <v>0</v>
      </c>
      <c r="C52" s="124">
        <f>SUMIF('SERVICE ENTRY'!$C$4:$C$1200,'County Report'!A52,'SERVICE ENTRY'!$N$4:$N$1200)</f>
        <v>0</v>
      </c>
      <c r="D52" s="91">
        <f>SUM(COUNTIFS('SERVICE ENTRY'!$C$4:$C$1200,'County Report'!A52,'SERVICE ENTRY'!$AC$4:$AC$1200,{"Mammogram","Clinical breast exam","Genetic testing/counseling"}),COUNTIFS('SERVICE ENTRY'!$C$4:$C$1200,'County Report'!A52,'SERVICE ENTRY'!$AD$4:$AD$1200,{"Mammogram","Clinical breast exam","Genetic testing/counseling"}))</f>
        <v>0</v>
      </c>
      <c r="E52" s="91">
        <f>COUNTIFS('SERVICE ENTRY'!$C$4:$C$1200,'County Report'!A52,'SERVICE ENTRY'!$BB$4:$BB$1200,"0-30 days")+COUNTIFS('SERVICE ENTRY'!$C$4:$C$1200,'County Report'!A52,'SERVICE ENTRY'!$BB$4:$BB$1200,"31-60 days")+COUNTIFS('SERVICE ENTRY'!$C$4:$C$1200,'County Report'!A52,'SERVICE ENTRY'!$BB$4:$BB$1200,"61-90 days")++COUNTIFS('SERVICE ENTRY'!$C$4:$C$1200,'County Report'!A52,'SERVICE ENTRY'!$BB$4:$BB$1200,"More than 90 days")+COUNTIFS('SERVICE ENTRY'!$C$4:$C$1200,'County Report'!A52,'SERVICE ENTRY'!$BB$4:$BB$1200,"Unknown")</f>
        <v>0</v>
      </c>
      <c r="F52" s="91">
        <f>SUM(COUNTIFS('SERVICE ENTRY'!$AJ$4:$AJ$1200,{"Diagnostic mammogram","Breast ultrasound","Biopsy","Breast MRI","Genomic testing to guide treatment"},'SERVICE ENTRY'!$C$4:$C$1200,'County Report'!A52))+SUM(COUNTIFS('SERVICE ENTRY'!$AK$4:$AK$1200,{"Diagnostic mammogram","Breast ultrasound","Biopsy","Breast MRI","Genomic testing to guide treatment"},'SERVICE ENTRY'!$C$4:$C$1200,'County Report'!A52))</f>
        <v>0</v>
      </c>
      <c r="G52" s="239">
        <f>SUM(COUNTIFS('SERVICE ENTRY'!$C$4:$C$1200,'County Report'!A52,'SERVICE ENTRY'!$BE$4:$BE$1200,{"0-30 days","31-60 days","61-90 days","More than 90 days","Unknown"}))</f>
        <v>0</v>
      </c>
      <c r="H52" s="91">
        <f>SUM(COUNTIFS('SERVICE ENTRY'!$AP$4:$AP$1200,{"Chemotherapy","Radiation therapy","Surgery","Hormone therapy","Targeted Therapy"},'SERVICE ENTRY'!$C$4:$C$1200,'County Report'!A52))+SUM(COUNTIFS('SERVICE ENTRY'!$AQ$4:$AQ$1200,{"Chemotherapy","Radiation therapy","Surgery","Hormone therapy","Targeted Therapy"},'SERVICE ENTRY'!$C$4:$C$1200,'County Report'!A52))+SUM(COUNTIFS('SERVICE ENTRY'!$AR$4:$AR$1200,{"Chemotherapy","Radiation therapy","Surgery","Hormone therapy","Targeted Therapy"},'SERVICE ENTRY'!$C$4:$C$1200,'County Report'!A52))</f>
        <v>0</v>
      </c>
      <c r="I52" s="91">
        <f>SUM(COUNTIFS('SERVICE ENTRY'!$C$4:$C$1200,'County Report'!A52,'SERVICE ENTRY'!$BH$4:$BH$1200,{"0-30 days","31-60 days","61-90 days","More than 90 days","Unknown"}))</f>
        <v>0</v>
      </c>
      <c r="J52"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Report'!A52))+SUM(COUNTIFS('SERVICE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Report'!A52))+SUM(COUNTIFS('SERVICE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Report'!A52))</f>
        <v>0</v>
      </c>
      <c r="K52" s="91">
        <f>SUM(COUNTIFS('SERVICE ENTRY'!$AW$4:$AW$1200,{"Transportation","Interpretation/translation services","Co-pay/deductible assistance","Daily living expenses","Childcare"},'SERVICE ENTRY'!$C$4:$C$1200,'County Report'!A52))+SUM(COUNTIFS('SERVICE ENTRY'!$AX$4:$AX$1200,{"Transportation","Interpretation/translation services","Co-pay/deductible assistance","Daily living expenses","Childcare"},'SERVICE ENTRY'!$C$4:$C$1200,'County Report'!A52))+SUM(COUNTIFS('SERVICE ENTRY'!$AY$4:$AY$1200,{"Transportation","Interpretation/translation services","Co-pay/deductible assistance","Daily living expenses","Childcare"},'SERVICE ENTRY'!$C$4:$C$1200,'County Report'!A52))+SUM(COUNTIFS('SERVICE ENTRY'!$AZ$4:$AZ$1200,{"Transportation","Interpretation/translation services","Co-pay/deductible assistance","Daily living expenses","Childcare"},'SERVICE ENTRY'!$C$4:$C$1200,'County Report'!A52))+SUM(COUNTIFS('SERVICE ENTRY'!$BA$4:$BA$1200,{"Transportation","Interpretation/translation services","Co-pay/deductible assistance","Daily living expenses","Childcare"},'SERVICE ENTRY'!$C$4:$C$1200,'County Report'!A52))</f>
        <v>0</v>
      </c>
      <c r="L52" s="187"/>
    </row>
    <row r="53" spans="1:12" x14ac:dyDescent="0.25">
      <c r="A53" s="167" t="s">
        <v>674</v>
      </c>
      <c r="B53" s="91">
        <f>COUNTIF('SERVICE ENTRY'!$C$4:$C$1200,'County Report'!A53)</f>
        <v>0</v>
      </c>
      <c r="C53" s="124">
        <f>SUMIF('SERVICE ENTRY'!$C$4:$C$1200,'County Report'!A53,'SERVICE ENTRY'!$N$4:$N$1200)</f>
        <v>0</v>
      </c>
      <c r="D53" s="91">
        <f>SUM(COUNTIFS('SERVICE ENTRY'!$C$4:$C$1200,'County Report'!A53,'SERVICE ENTRY'!$AC$4:$AC$1200,{"Mammogram","Clinical breast exam","Genetic testing/counseling"}),COUNTIFS('SERVICE ENTRY'!$C$4:$C$1200,'County Report'!A53,'SERVICE ENTRY'!$AD$4:$AD$1200,{"Mammogram","Clinical breast exam","Genetic testing/counseling"}))</f>
        <v>0</v>
      </c>
      <c r="E53" s="91">
        <f>COUNTIFS('SERVICE ENTRY'!$C$4:$C$1200,'County Report'!A53,'SERVICE ENTRY'!$BB$4:$BB$1200,"0-30 days")+COUNTIFS('SERVICE ENTRY'!$C$4:$C$1200,'County Report'!A53,'SERVICE ENTRY'!$BB$4:$BB$1200,"31-60 days")+COUNTIFS('SERVICE ENTRY'!$C$4:$C$1200,'County Report'!A53,'SERVICE ENTRY'!$BB$4:$BB$1200,"61-90 days")++COUNTIFS('SERVICE ENTRY'!$C$4:$C$1200,'County Report'!A53,'SERVICE ENTRY'!$BB$4:$BB$1200,"More than 90 days")+COUNTIFS('SERVICE ENTRY'!$C$4:$C$1200,'County Report'!A53,'SERVICE ENTRY'!$BB$4:$BB$1200,"Unknown")</f>
        <v>0</v>
      </c>
      <c r="F53" s="91">
        <f>SUM(COUNTIFS('SERVICE ENTRY'!$AJ$4:$AJ$1200,{"Diagnostic mammogram","Breast ultrasound","Biopsy","Breast MRI","Genomic testing to guide treatment"},'SERVICE ENTRY'!$C$4:$C$1200,'County Report'!A53))+SUM(COUNTIFS('SERVICE ENTRY'!$AK$4:$AK$1200,{"Diagnostic mammogram","Breast ultrasound","Biopsy","Breast MRI","Genomic testing to guide treatment"},'SERVICE ENTRY'!$C$4:$C$1200,'County Report'!A53))</f>
        <v>0</v>
      </c>
      <c r="G53" s="239">
        <f>SUM(COUNTIFS('SERVICE ENTRY'!$C$4:$C$1200,'County Report'!A53,'SERVICE ENTRY'!$BE$4:$BE$1200,{"0-30 days","31-60 days","61-90 days","More than 90 days","Unknown"}))</f>
        <v>0</v>
      </c>
      <c r="H53" s="91">
        <f>SUM(COUNTIFS('SERVICE ENTRY'!$AP$4:$AP$1200,{"Chemotherapy","Radiation therapy","Surgery","Hormone therapy","Targeted Therapy"},'SERVICE ENTRY'!$C$4:$C$1200,'County Report'!A53))+SUM(COUNTIFS('SERVICE ENTRY'!$AQ$4:$AQ$1200,{"Chemotherapy","Radiation therapy","Surgery","Hormone therapy","Targeted Therapy"},'SERVICE ENTRY'!$C$4:$C$1200,'County Report'!A53))+SUM(COUNTIFS('SERVICE ENTRY'!$AR$4:$AR$1200,{"Chemotherapy","Radiation therapy","Surgery","Hormone therapy","Targeted Therapy"},'SERVICE ENTRY'!$C$4:$C$1200,'County Report'!A53))</f>
        <v>0</v>
      </c>
      <c r="I53" s="91">
        <f>SUM(COUNTIFS('SERVICE ENTRY'!$C$4:$C$1200,'County Report'!A53,'SERVICE ENTRY'!$BH$4:$BH$1200,{"0-30 days","31-60 days","61-90 days","More than 90 days","Unknown"}))</f>
        <v>0</v>
      </c>
      <c r="J53"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Report'!A53))+SUM(COUNTIFS('SERVICE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Report'!A53))+SUM(COUNTIFS('SERVICE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Report'!A53))</f>
        <v>0</v>
      </c>
      <c r="K53" s="91">
        <f>SUM(COUNTIFS('SERVICE ENTRY'!$AW$4:$AW$1200,{"Transportation","Interpretation/translation services","Co-pay/deductible assistance","Daily living expenses","Childcare"},'SERVICE ENTRY'!$C$4:$C$1200,'County Report'!A53))+SUM(COUNTIFS('SERVICE ENTRY'!$AX$4:$AX$1200,{"Transportation","Interpretation/translation services","Co-pay/deductible assistance","Daily living expenses","Childcare"},'SERVICE ENTRY'!$C$4:$C$1200,'County Report'!A53))+SUM(COUNTIFS('SERVICE ENTRY'!$AY$4:$AY$1200,{"Transportation","Interpretation/translation services","Co-pay/deductible assistance","Daily living expenses","Childcare"},'SERVICE ENTRY'!$C$4:$C$1200,'County Report'!A53))+SUM(COUNTIFS('SERVICE ENTRY'!$AZ$4:$AZ$1200,{"Transportation","Interpretation/translation services","Co-pay/deductible assistance","Daily living expenses","Childcare"},'SERVICE ENTRY'!$C$4:$C$1200,'County Report'!A53))+SUM(COUNTIFS('SERVICE ENTRY'!$BA$4:$BA$1200,{"Transportation","Interpretation/translation services","Co-pay/deductible assistance","Daily living expenses","Childcare"},'SERVICE ENTRY'!$C$4:$C$1200,'County Report'!A53))</f>
        <v>0</v>
      </c>
      <c r="L53" s="187"/>
    </row>
    <row r="54" spans="1:12" x14ac:dyDescent="0.25">
      <c r="A54" s="167" t="s">
        <v>675</v>
      </c>
      <c r="B54" s="91">
        <f>COUNTIF('SERVICE ENTRY'!$C$4:$C$1200,'County Report'!A54)</f>
        <v>0</v>
      </c>
      <c r="C54" s="124">
        <f>SUMIF('SERVICE ENTRY'!$C$4:$C$1200,'County Report'!A54,'SERVICE ENTRY'!$N$4:$N$1200)</f>
        <v>0</v>
      </c>
      <c r="D54" s="91">
        <f>SUM(COUNTIFS('SERVICE ENTRY'!$C$4:$C$1200,'County Report'!A54,'SERVICE ENTRY'!$AC$4:$AC$1200,{"Mammogram","Clinical breast exam","Genetic testing/counseling"}),COUNTIFS('SERVICE ENTRY'!$C$4:$C$1200,'County Report'!A54,'SERVICE ENTRY'!$AD$4:$AD$1200,{"Mammogram","Clinical breast exam","Genetic testing/counseling"}))</f>
        <v>0</v>
      </c>
      <c r="E54" s="91">
        <f>COUNTIFS('SERVICE ENTRY'!$C$4:$C$1200,'County Report'!A54,'SERVICE ENTRY'!$BB$4:$BB$1200,"0-30 days")+COUNTIFS('SERVICE ENTRY'!$C$4:$C$1200,'County Report'!A54,'SERVICE ENTRY'!$BB$4:$BB$1200,"31-60 days")+COUNTIFS('SERVICE ENTRY'!$C$4:$C$1200,'County Report'!A54,'SERVICE ENTRY'!$BB$4:$BB$1200,"61-90 days")++COUNTIFS('SERVICE ENTRY'!$C$4:$C$1200,'County Report'!A54,'SERVICE ENTRY'!$BB$4:$BB$1200,"More than 90 days")+COUNTIFS('SERVICE ENTRY'!$C$4:$C$1200,'County Report'!A54,'SERVICE ENTRY'!$BB$4:$BB$1200,"Unknown")</f>
        <v>0</v>
      </c>
      <c r="F54" s="91">
        <f>SUM(COUNTIFS('SERVICE ENTRY'!$AJ$4:$AJ$1200,{"Diagnostic mammogram","Breast ultrasound","Biopsy","Breast MRI","Genomic testing to guide treatment"},'SERVICE ENTRY'!$C$4:$C$1200,'County Report'!A54))+SUM(COUNTIFS('SERVICE ENTRY'!$AK$4:$AK$1200,{"Diagnostic mammogram","Breast ultrasound","Biopsy","Breast MRI","Genomic testing to guide treatment"},'SERVICE ENTRY'!$C$4:$C$1200,'County Report'!A54))</f>
        <v>0</v>
      </c>
      <c r="G54" s="239">
        <f>SUM(COUNTIFS('SERVICE ENTRY'!$C$4:$C$1200,'County Report'!A54,'SERVICE ENTRY'!$BE$4:$BE$1200,{"0-30 days","31-60 days","61-90 days","More than 90 days","Unknown"}))</f>
        <v>0</v>
      </c>
      <c r="H54" s="91">
        <f>SUM(COUNTIFS('SERVICE ENTRY'!$AP$4:$AP$1200,{"Chemotherapy","Radiation therapy","Surgery","Hormone therapy","Targeted Therapy"},'SERVICE ENTRY'!$C$4:$C$1200,'County Report'!A54))+SUM(COUNTIFS('SERVICE ENTRY'!$AQ$4:$AQ$1200,{"Chemotherapy","Radiation therapy","Surgery","Hormone therapy","Targeted Therapy"},'SERVICE ENTRY'!$C$4:$C$1200,'County Report'!A54))+SUM(COUNTIFS('SERVICE ENTRY'!$AR$4:$AR$1200,{"Chemotherapy","Radiation therapy","Surgery","Hormone therapy","Targeted Therapy"},'SERVICE ENTRY'!$C$4:$C$1200,'County Report'!A54))</f>
        <v>0</v>
      </c>
      <c r="I54" s="91">
        <f>SUM(COUNTIFS('SERVICE ENTRY'!$C$4:$C$1200,'County Report'!A54,'SERVICE ENTRY'!$BH$4:$BH$1200,{"0-30 days","31-60 days","61-90 days","More than 90 days","Unknown"}))</f>
        <v>0</v>
      </c>
      <c r="J54"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Report'!A54))+SUM(COUNTIFS('SERVICE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Report'!A54))+SUM(COUNTIFS('SERVICE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Report'!A54))</f>
        <v>0</v>
      </c>
      <c r="K54" s="91">
        <f>SUM(COUNTIFS('SERVICE ENTRY'!$AW$4:$AW$1200,{"Transportation","Interpretation/translation services","Co-pay/deductible assistance","Daily living expenses","Childcare"},'SERVICE ENTRY'!$C$4:$C$1200,'County Report'!A54))+SUM(COUNTIFS('SERVICE ENTRY'!$AX$4:$AX$1200,{"Transportation","Interpretation/translation services","Co-pay/deductible assistance","Daily living expenses","Childcare"},'SERVICE ENTRY'!$C$4:$C$1200,'County Report'!A54))+SUM(COUNTIFS('SERVICE ENTRY'!$AY$4:$AY$1200,{"Transportation","Interpretation/translation services","Co-pay/deductible assistance","Daily living expenses","Childcare"},'SERVICE ENTRY'!$C$4:$C$1200,'County Report'!A54))+SUM(COUNTIFS('SERVICE ENTRY'!$AZ$4:$AZ$1200,{"Transportation","Interpretation/translation services","Co-pay/deductible assistance","Daily living expenses","Childcare"},'SERVICE ENTRY'!$C$4:$C$1200,'County Report'!A54))+SUM(COUNTIFS('SERVICE ENTRY'!$BA$4:$BA$1200,{"Transportation","Interpretation/translation services","Co-pay/deductible assistance","Daily living expenses","Childcare"},'SERVICE ENTRY'!$C$4:$C$1200,'County Report'!A54))</f>
        <v>0</v>
      </c>
      <c r="L54" s="187"/>
    </row>
    <row r="55" spans="1:12" x14ac:dyDescent="0.25">
      <c r="A55" s="167" t="s">
        <v>676</v>
      </c>
      <c r="B55" s="91">
        <f>COUNTIF('SERVICE ENTRY'!$C$4:$C$1200,'County Report'!A55)</f>
        <v>0</v>
      </c>
      <c r="C55" s="124">
        <f>SUMIF('SERVICE ENTRY'!$C$4:$C$1200,'County Report'!A55,'SERVICE ENTRY'!$N$4:$N$1200)</f>
        <v>0</v>
      </c>
      <c r="D55" s="91">
        <f>SUM(COUNTIFS('SERVICE ENTRY'!$C$4:$C$1200,'County Report'!A55,'SERVICE ENTRY'!$AC$4:$AC$1200,{"Mammogram","Clinical breast exam","Genetic testing/counseling"}),COUNTIFS('SERVICE ENTRY'!$C$4:$C$1200,'County Report'!A55,'SERVICE ENTRY'!$AD$4:$AD$1200,{"Mammogram","Clinical breast exam","Genetic testing/counseling"}))</f>
        <v>0</v>
      </c>
      <c r="E55" s="91">
        <f>COUNTIFS('SERVICE ENTRY'!$C$4:$C$1200,'County Report'!A55,'SERVICE ENTRY'!$BB$4:$BB$1200,"0-30 days")+COUNTIFS('SERVICE ENTRY'!$C$4:$C$1200,'County Report'!A55,'SERVICE ENTRY'!$BB$4:$BB$1200,"31-60 days")+COUNTIFS('SERVICE ENTRY'!$C$4:$C$1200,'County Report'!A55,'SERVICE ENTRY'!$BB$4:$BB$1200,"61-90 days")++COUNTIFS('SERVICE ENTRY'!$C$4:$C$1200,'County Report'!A55,'SERVICE ENTRY'!$BB$4:$BB$1200,"More than 90 days")+COUNTIFS('SERVICE ENTRY'!$C$4:$C$1200,'County Report'!A55,'SERVICE ENTRY'!$BB$4:$BB$1200,"Unknown")</f>
        <v>0</v>
      </c>
      <c r="F55" s="91">
        <f>SUM(COUNTIFS('SERVICE ENTRY'!$AJ$4:$AJ$1200,{"Diagnostic mammogram","Breast ultrasound","Biopsy","Breast MRI","Genomic testing to guide treatment"},'SERVICE ENTRY'!$C$4:$C$1200,'County Report'!A55))+SUM(COUNTIFS('SERVICE ENTRY'!$AK$4:$AK$1200,{"Diagnostic mammogram","Breast ultrasound","Biopsy","Breast MRI","Genomic testing to guide treatment"},'SERVICE ENTRY'!$C$4:$C$1200,'County Report'!A55))</f>
        <v>0</v>
      </c>
      <c r="G55" s="239">
        <f>SUM(COUNTIFS('SERVICE ENTRY'!$C$4:$C$1200,'County Report'!A55,'SERVICE ENTRY'!$BE$4:$BE$1200,{"0-30 days","31-60 days","61-90 days","More than 90 days","Unknown"}))</f>
        <v>0</v>
      </c>
      <c r="H55" s="91">
        <f>SUM(COUNTIFS('SERVICE ENTRY'!$AP$4:$AP$1200,{"Chemotherapy","Radiation therapy","Surgery","Hormone therapy","Targeted Therapy"},'SERVICE ENTRY'!$C$4:$C$1200,'County Report'!A55))+SUM(COUNTIFS('SERVICE ENTRY'!$AQ$4:$AQ$1200,{"Chemotherapy","Radiation therapy","Surgery","Hormone therapy","Targeted Therapy"},'SERVICE ENTRY'!$C$4:$C$1200,'County Report'!A55))+SUM(COUNTIFS('SERVICE ENTRY'!$AR$4:$AR$1200,{"Chemotherapy","Radiation therapy","Surgery","Hormone therapy","Targeted Therapy"},'SERVICE ENTRY'!$C$4:$C$1200,'County Report'!A55))</f>
        <v>0</v>
      </c>
      <c r="I55" s="91">
        <f>SUM(COUNTIFS('SERVICE ENTRY'!$C$4:$C$1200,'County Report'!A55,'SERVICE ENTRY'!$BH$4:$BH$1200,{"0-30 days","31-60 days","61-90 days","More than 90 days","Unknown"}))</f>
        <v>0</v>
      </c>
      <c r="J55"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Report'!A55))+SUM(COUNTIFS('SERVICE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Report'!A55))+SUM(COUNTIFS('SERVICE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Report'!A55))</f>
        <v>0</v>
      </c>
      <c r="K55" s="91">
        <f>SUM(COUNTIFS('SERVICE ENTRY'!$AW$4:$AW$1200,{"Transportation","Interpretation/translation services","Co-pay/deductible assistance","Daily living expenses","Childcare"},'SERVICE ENTRY'!$C$4:$C$1200,'County Report'!A55))+SUM(COUNTIFS('SERVICE ENTRY'!$AX$4:$AX$1200,{"Transportation","Interpretation/translation services","Co-pay/deductible assistance","Daily living expenses","Childcare"},'SERVICE ENTRY'!$C$4:$C$1200,'County Report'!A55))+SUM(COUNTIFS('SERVICE ENTRY'!$AY$4:$AY$1200,{"Transportation","Interpretation/translation services","Co-pay/deductible assistance","Daily living expenses","Childcare"},'SERVICE ENTRY'!$C$4:$C$1200,'County Report'!A55))+SUM(COUNTIFS('SERVICE ENTRY'!$AZ$4:$AZ$1200,{"Transportation","Interpretation/translation services","Co-pay/deductible assistance","Daily living expenses","Childcare"},'SERVICE ENTRY'!$C$4:$C$1200,'County Report'!A55))+SUM(COUNTIFS('SERVICE ENTRY'!$BA$4:$BA$1200,{"Transportation","Interpretation/translation services","Co-pay/deductible assistance","Daily living expenses","Childcare"},'SERVICE ENTRY'!$C$4:$C$1200,'County Report'!A55))</f>
        <v>0</v>
      </c>
      <c r="L55" s="187"/>
    </row>
    <row r="56" spans="1:12" x14ac:dyDescent="0.25">
      <c r="A56" s="167" t="s">
        <v>677</v>
      </c>
      <c r="B56" s="91">
        <f>COUNTIF('SERVICE ENTRY'!$C$4:$C$1200,'County Report'!A56)</f>
        <v>0</v>
      </c>
      <c r="C56" s="124">
        <f>SUMIF('SERVICE ENTRY'!$C$4:$C$1200,'County Report'!A56,'SERVICE ENTRY'!$N$4:$N$1200)</f>
        <v>0</v>
      </c>
      <c r="D56" s="91">
        <f>SUM(COUNTIFS('SERVICE ENTRY'!$C$4:$C$1200,'County Report'!A56,'SERVICE ENTRY'!$AC$4:$AC$1200,{"Mammogram","Clinical breast exam","Genetic testing/counseling"}),COUNTIFS('SERVICE ENTRY'!$C$4:$C$1200,'County Report'!A56,'SERVICE ENTRY'!$AD$4:$AD$1200,{"Mammogram","Clinical breast exam","Genetic testing/counseling"}))</f>
        <v>0</v>
      </c>
      <c r="E56" s="91">
        <f>COUNTIFS('SERVICE ENTRY'!$C$4:$C$1200,'County Report'!A56,'SERVICE ENTRY'!$BB$4:$BB$1200,"0-30 days")+COUNTIFS('SERVICE ENTRY'!$C$4:$C$1200,'County Report'!A56,'SERVICE ENTRY'!$BB$4:$BB$1200,"31-60 days")+COUNTIFS('SERVICE ENTRY'!$C$4:$C$1200,'County Report'!A56,'SERVICE ENTRY'!$BB$4:$BB$1200,"61-90 days")++COUNTIFS('SERVICE ENTRY'!$C$4:$C$1200,'County Report'!A56,'SERVICE ENTRY'!$BB$4:$BB$1200,"More than 90 days")+COUNTIFS('SERVICE ENTRY'!$C$4:$C$1200,'County Report'!A56,'SERVICE ENTRY'!$BB$4:$BB$1200,"Unknown")</f>
        <v>0</v>
      </c>
      <c r="F56" s="91">
        <f>SUM(COUNTIFS('SERVICE ENTRY'!$AJ$4:$AJ$1200,{"Diagnostic mammogram","Breast ultrasound","Biopsy","Breast MRI","Genomic testing to guide treatment"},'SERVICE ENTRY'!$C$4:$C$1200,'County Report'!A56))+SUM(COUNTIFS('SERVICE ENTRY'!$AK$4:$AK$1200,{"Diagnostic mammogram","Breast ultrasound","Biopsy","Breast MRI","Genomic testing to guide treatment"},'SERVICE ENTRY'!$C$4:$C$1200,'County Report'!A56))</f>
        <v>0</v>
      </c>
      <c r="G56" s="239">
        <f>SUM(COUNTIFS('SERVICE ENTRY'!$C$4:$C$1200,'County Report'!A56,'SERVICE ENTRY'!$BE$4:$BE$1200,{"0-30 days","31-60 days","61-90 days","More than 90 days","Unknown"}))</f>
        <v>0</v>
      </c>
      <c r="H56" s="91">
        <f>SUM(COUNTIFS('SERVICE ENTRY'!$AP$4:$AP$1200,{"Chemotherapy","Radiation therapy","Surgery","Hormone therapy","Targeted Therapy"},'SERVICE ENTRY'!$C$4:$C$1200,'County Report'!A56))+SUM(COUNTIFS('SERVICE ENTRY'!$AQ$4:$AQ$1200,{"Chemotherapy","Radiation therapy","Surgery","Hormone therapy","Targeted Therapy"},'SERVICE ENTRY'!$C$4:$C$1200,'County Report'!A56))+SUM(COUNTIFS('SERVICE ENTRY'!$AR$4:$AR$1200,{"Chemotherapy","Radiation therapy","Surgery","Hormone therapy","Targeted Therapy"},'SERVICE ENTRY'!$C$4:$C$1200,'County Report'!A56))</f>
        <v>0</v>
      </c>
      <c r="I56" s="91">
        <f>SUM(COUNTIFS('SERVICE ENTRY'!$C$4:$C$1200,'County Report'!A56,'SERVICE ENTRY'!$BH$4:$BH$1200,{"0-30 days","31-60 days","61-90 days","More than 90 days","Unknown"}))</f>
        <v>0</v>
      </c>
      <c r="J56"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Report'!A56))+SUM(COUNTIFS('SERVICE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Report'!A56))+SUM(COUNTIFS('SERVICE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Report'!A56))</f>
        <v>0</v>
      </c>
      <c r="K56" s="91">
        <f>SUM(COUNTIFS('SERVICE ENTRY'!$AW$4:$AW$1200,{"Transportation","Interpretation/translation services","Co-pay/deductible assistance","Daily living expenses","Childcare"},'SERVICE ENTRY'!$C$4:$C$1200,'County Report'!A56))+SUM(COUNTIFS('SERVICE ENTRY'!$AX$4:$AX$1200,{"Transportation","Interpretation/translation services","Co-pay/deductible assistance","Daily living expenses","Childcare"},'SERVICE ENTRY'!$C$4:$C$1200,'County Report'!A56))+SUM(COUNTIFS('SERVICE ENTRY'!$AY$4:$AY$1200,{"Transportation","Interpretation/translation services","Co-pay/deductible assistance","Daily living expenses","Childcare"},'SERVICE ENTRY'!$C$4:$C$1200,'County Report'!A56))+SUM(COUNTIFS('SERVICE ENTRY'!$AZ$4:$AZ$1200,{"Transportation","Interpretation/translation services","Co-pay/deductible assistance","Daily living expenses","Childcare"},'SERVICE ENTRY'!$C$4:$C$1200,'County Report'!A56))+SUM(COUNTIFS('SERVICE ENTRY'!$BA$4:$BA$1200,{"Transportation","Interpretation/translation services","Co-pay/deductible assistance","Daily living expenses","Childcare"},'SERVICE ENTRY'!$C$4:$C$1200,'County Report'!A56))</f>
        <v>0</v>
      </c>
      <c r="L56" s="187"/>
    </row>
    <row r="57" spans="1:12" x14ac:dyDescent="0.25">
      <c r="A57" s="167" t="s">
        <v>678</v>
      </c>
      <c r="B57" s="91">
        <f>COUNTIF('SERVICE ENTRY'!$C$4:$C$1200,'County Report'!A57)</f>
        <v>0</v>
      </c>
      <c r="C57" s="124">
        <f>SUMIF('SERVICE ENTRY'!$C$4:$C$1200,'County Report'!A57,'SERVICE ENTRY'!$N$4:$N$1200)</f>
        <v>0</v>
      </c>
      <c r="D57" s="91">
        <f>SUM(COUNTIFS('SERVICE ENTRY'!$C$4:$C$1200,'County Report'!A57,'SERVICE ENTRY'!$AC$4:$AC$1200,{"Mammogram","Clinical breast exam","Genetic testing/counseling"}),COUNTIFS('SERVICE ENTRY'!$C$4:$C$1200,'County Report'!A57,'SERVICE ENTRY'!$AD$4:$AD$1200,{"Mammogram","Clinical breast exam","Genetic testing/counseling"}))</f>
        <v>0</v>
      </c>
      <c r="E57" s="91">
        <f>COUNTIFS('SERVICE ENTRY'!$C$4:$C$1200,'County Report'!A57,'SERVICE ENTRY'!$BB$4:$BB$1200,"0-30 days")+COUNTIFS('SERVICE ENTRY'!$C$4:$C$1200,'County Report'!A57,'SERVICE ENTRY'!$BB$4:$BB$1200,"31-60 days")+COUNTIFS('SERVICE ENTRY'!$C$4:$C$1200,'County Report'!A57,'SERVICE ENTRY'!$BB$4:$BB$1200,"61-90 days")++COUNTIFS('SERVICE ENTRY'!$C$4:$C$1200,'County Report'!A57,'SERVICE ENTRY'!$BB$4:$BB$1200,"More than 90 days")+COUNTIFS('SERVICE ENTRY'!$C$4:$C$1200,'County Report'!A57,'SERVICE ENTRY'!$BB$4:$BB$1200,"Unknown")</f>
        <v>0</v>
      </c>
      <c r="F57" s="91">
        <f>SUM(COUNTIFS('SERVICE ENTRY'!$AJ$4:$AJ$1200,{"Diagnostic mammogram","Breast ultrasound","Biopsy","Breast MRI","Genomic testing to guide treatment"},'SERVICE ENTRY'!$C$4:$C$1200,'County Report'!A57))+SUM(COUNTIFS('SERVICE ENTRY'!$AK$4:$AK$1200,{"Diagnostic mammogram","Breast ultrasound","Biopsy","Breast MRI","Genomic testing to guide treatment"},'SERVICE ENTRY'!$C$4:$C$1200,'County Report'!A57))</f>
        <v>0</v>
      </c>
      <c r="G57" s="239">
        <f>SUM(COUNTIFS('SERVICE ENTRY'!$C$4:$C$1200,'County Report'!A57,'SERVICE ENTRY'!$BE$4:$BE$1200,{"0-30 days","31-60 days","61-90 days","More than 90 days","Unknown"}))</f>
        <v>0</v>
      </c>
      <c r="H57" s="91">
        <f>SUM(COUNTIFS('SERVICE ENTRY'!$AP$4:$AP$1200,{"Chemotherapy","Radiation therapy","Surgery","Hormone therapy","Targeted Therapy"},'SERVICE ENTRY'!$C$4:$C$1200,'County Report'!A57))+SUM(COUNTIFS('SERVICE ENTRY'!$AQ$4:$AQ$1200,{"Chemotherapy","Radiation therapy","Surgery","Hormone therapy","Targeted Therapy"},'SERVICE ENTRY'!$C$4:$C$1200,'County Report'!A57))+SUM(COUNTIFS('SERVICE ENTRY'!$AR$4:$AR$1200,{"Chemotherapy","Radiation therapy","Surgery","Hormone therapy","Targeted Therapy"},'SERVICE ENTRY'!$C$4:$C$1200,'County Report'!A57))</f>
        <v>0</v>
      </c>
      <c r="I57" s="91">
        <f>SUM(COUNTIFS('SERVICE ENTRY'!$C$4:$C$1200,'County Report'!A57,'SERVICE ENTRY'!$BH$4:$BH$1200,{"0-30 days","31-60 days","61-90 days","More than 90 days","Unknown"}))</f>
        <v>0</v>
      </c>
      <c r="J57"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Report'!A57))+SUM(COUNTIFS('SERVICE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Report'!A57))+SUM(COUNTIFS('SERVICE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Report'!A57))</f>
        <v>0</v>
      </c>
      <c r="K57" s="91">
        <f>SUM(COUNTIFS('SERVICE ENTRY'!$AW$4:$AW$1200,{"Transportation","Interpretation/translation services","Co-pay/deductible assistance","Daily living expenses","Childcare"},'SERVICE ENTRY'!$C$4:$C$1200,'County Report'!A57))+SUM(COUNTIFS('SERVICE ENTRY'!$AX$4:$AX$1200,{"Transportation","Interpretation/translation services","Co-pay/deductible assistance","Daily living expenses","Childcare"},'SERVICE ENTRY'!$C$4:$C$1200,'County Report'!A57))+SUM(COUNTIFS('SERVICE ENTRY'!$AY$4:$AY$1200,{"Transportation","Interpretation/translation services","Co-pay/deductible assistance","Daily living expenses","Childcare"},'SERVICE ENTRY'!$C$4:$C$1200,'County Report'!A57))+SUM(COUNTIFS('SERVICE ENTRY'!$AZ$4:$AZ$1200,{"Transportation","Interpretation/translation services","Co-pay/deductible assistance","Daily living expenses","Childcare"},'SERVICE ENTRY'!$C$4:$C$1200,'County Report'!A57))+SUM(COUNTIFS('SERVICE ENTRY'!$BA$4:$BA$1200,{"Transportation","Interpretation/translation services","Co-pay/deductible assistance","Daily living expenses","Childcare"},'SERVICE ENTRY'!$C$4:$C$1200,'County Report'!A57))</f>
        <v>0</v>
      </c>
      <c r="L57" s="187"/>
    </row>
    <row r="58" spans="1:12" x14ac:dyDescent="0.25">
      <c r="A58" s="167" t="s">
        <v>679</v>
      </c>
      <c r="B58" s="91">
        <f>COUNTIF('SERVICE ENTRY'!$C$4:$C$1200,'County Report'!A58)</f>
        <v>0</v>
      </c>
      <c r="C58" s="124">
        <f>SUMIF('SERVICE ENTRY'!$C$4:$C$1200,'County Report'!A58,'SERVICE ENTRY'!$N$4:$N$1200)</f>
        <v>0</v>
      </c>
      <c r="D58" s="91">
        <f>SUM(COUNTIFS('SERVICE ENTRY'!$C$4:$C$1200,'County Report'!A58,'SERVICE ENTRY'!$AC$4:$AC$1200,{"Mammogram","Clinical breast exam","Genetic testing/counseling"}),COUNTIFS('SERVICE ENTRY'!$C$4:$C$1200,'County Report'!A58,'SERVICE ENTRY'!$AD$4:$AD$1200,{"Mammogram","Clinical breast exam","Genetic testing/counseling"}))</f>
        <v>0</v>
      </c>
      <c r="E58" s="91">
        <f>COUNTIFS('SERVICE ENTRY'!$C$4:$C$1200,'County Report'!A58,'SERVICE ENTRY'!$BB$4:$BB$1200,"0-30 days")+COUNTIFS('SERVICE ENTRY'!$C$4:$C$1200,'County Report'!A58,'SERVICE ENTRY'!$BB$4:$BB$1200,"31-60 days")+COUNTIFS('SERVICE ENTRY'!$C$4:$C$1200,'County Report'!A58,'SERVICE ENTRY'!$BB$4:$BB$1200,"61-90 days")++COUNTIFS('SERVICE ENTRY'!$C$4:$C$1200,'County Report'!A58,'SERVICE ENTRY'!$BB$4:$BB$1200,"More than 90 days")+COUNTIFS('SERVICE ENTRY'!$C$4:$C$1200,'County Report'!A58,'SERVICE ENTRY'!$BB$4:$BB$1200,"Unknown")</f>
        <v>0</v>
      </c>
      <c r="F58" s="91">
        <f>SUM(COUNTIFS('SERVICE ENTRY'!$AJ$4:$AJ$1200,{"Diagnostic mammogram","Breast ultrasound","Biopsy","Breast MRI","Genomic testing to guide treatment"},'SERVICE ENTRY'!$C$4:$C$1200,'County Report'!A58))+SUM(COUNTIFS('SERVICE ENTRY'!$AK$4:$AK$1200,{"Diagnostic mammogram","Breast ultrasound","Biopsy","Breast MRI","Genomic testing to guide treatment"},'SERVICE ENTRY'!$C$4:$C$1200,'County Report'!A58))</f>
        <v>0</v>
      </c>
      <c r="G58" s="239">
        <f>SUM(COUNTIFS('SERVICE ENTRY'!$C$4:$C$1200,'County Report'!A58,'SERVICE ENTRY'!$BE$4:$BE$1200,{"0-30 days","31-60 days","61-90 days","More than 90 days","Unknown"}))</f>
        <v>0</v>
      </c>
      <c r="H58" s="91">
        <f>SUM(COUNTIFS('SERVICE ENTRY'!$AP$4:$AP$1200,{"Chemotherapy","Radiation therapy","Surgery","Hormone therapy","Targeted Therapy"},'SERVICE ENTRY'!$C$4:$C$1200,'County Report'!A58))+SUM(COUNTIFS('SERVICE ENTRY'!$AQ$4:$AQ$1200,{"Chemotherapy","Radiation therapy","Surgery","Hormone therapy","Targeted Therapy"},'SERVICE ENTRY'!$C$4:$C$1200,'County Report'!A58))+SUM(COUNTIFS('SERVICE ENTRY'!$AR$4:$AR$1200,{"Chemotherapy","Radiation therapy","Surgery","Hormone therapy","Targeted Therapy"},'SERVICE ENTRY'!$C$4:$C$1200,'County Report'!A58))</f>
        <v>0</v>
      </c>
      <c r="I58" s="91">
        <f>SUM(COUNTIFS('SERVICE ENTRY'!$C$4:$C$1200,'County Report'!A58,'SERVICE ENTRY'!$BH$4:$BH$1200,{"0-30 days","31-60 days","61-90 days","More than 90 days","Unknown"}))</f>
        <v>0</v>
      </c>
      <c r="J58"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Report'!A58))+SUM(COUNTIFS('SERVICE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Report'!A58))+SUM(COUNTIFS('SERVICE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Report'!A58))</f>
        <v>0</v>
      </c>
      <c r="K58" s="91">
        <f>SUM(COUNTIFS('SERVICE ENTRY'!$AW$4:$AW$1200,{"Transportation","Interpretation/translation services","Co-pay/deductible assistance","Daily living expenses","Childcare"},'SERVICE ENTRY'!$C$4:$C$1200,'County Report'!A58))+SUM(COUNTIFS('SERVICE ENTRY'!$AX$4:$AX$1200,{"Transportation","Interpretation/translation services","Co-pay/deductible assistance","Daily living expenses","Childcare"},'SERVICE ENTRY'!$C$4:$C$1200,'County Report'!A58))+SUM(COUNTIFS('SERVICE ENTRY'!$AY$4:$AY$1200,{"Transportation","Interpretation/translation services","Co-pay/deductible assistance","Daily living expenses","Childcare"},'SERVICE ENTRY'!$C$4:$C$1200,'County Report'!A58))+SUM(COUNTIFS('SERVICE ENTRY'!$AZ$4:$AZ$1200,{"Transportation","Interpretation/translation services","Co-pay/deductible assistance","Daily living expenses","Childcare"},'SERVICE ENTRY'!$C$4:$C$1200,'County Report'!A58))+SUM(COUNTIFS('SERVICE ENTRY'!$BA$4:$BA$1200,{"Transportation","Interpretation/translation services","Co-pay/deductible assistance","Daily living expenses","Childcare"},'SERVICE ENTRY'!$C$4:$C$1200,'County Report'!A58))</f>
        <v>0</v>
      </c>
      <c r="L58" s="187"/>
    </row>
    <row r="59" spans="1:12" x14ac:dyDescent="0.25">
      <c r="A59" s="167" t="s">
        <v>680</v>
      </c>
      <c r="B59" s="91">
        <f>COUNTIF('SERVICE ENTRY'!$C$4:$C$1200,'County Report'!A59)</f>
        <v>0</v>
      </c>
      <c r="C59" s="124">
        <f>SUMIF('SERVICE ENTRY'!$C$4:$C$1200,'County Report'!A59,'SERVICE ENTRY'!$N$4:$N$1200)</f>
        <v>0</v>
      </c>
      <c r="D59" s="91">
        <f>SUM(COUNTIFS('SERVICE ENTRY'!$C$4:$C$1200,'County Report'!A59,'SERVICE ENTRY'!$AC$4:$AC$1200,{"Mammogram","Clinical breast exam","Genetic testing/counseling"}),COUNTIFS('SERVICE ENTRY'!$C$4:$C$1200,'County Report'!A59,'SERVICE ENTRY'!$AD$4:$AD$1200,{"Mammogram","Clinical breast exam","Genetic testing/counseling"}))</f>
        <v>0</v>
      </c>
      <c r="E59" s="91">
        <f>COUNTIFS('SERVICE ENTRY'!$C$4:$C$1200,'County Report'!A59,'SERVICE ENTRY'!$BB$4:$BB$1200,"0-30 days")+COUNTIFS('SERVICE ENTRY'!$C$4:$C$1200,'County Report'!A59,'SERVICE ENTRY'!$BB$4:$BB$1200,"31-60 days")+COUNTIFS('SERVICE ENTRY'!$C$4:$C$1200,'County Report'!A59,'SERVICE ENTRY'!$BB$4:$BB$1200,"61-90 days")++COUNTIFS('SERVICE ENTRY'!$C$4:$C$1200,'County Report'!A59,'SERVICE ENTRY'!$BB$4:$BB$1200,"More than 90 days")+COUNTIFS('SERVICE ENTRY'!$C$4:$C$1200,'County Report'!A59,'SERVICE ENTRY'!$BB$4:$BB$1200,"Unknown")</f>
        <v>0</v>
      </c>
      <c r="F59" s="91">
        <f>SUM(COUNTIFS('SERVICE ENTRY'!$AJ$4:$AJ$1200,{"Diagnostic mammogram","Breast ultrasound","Biopsy","Breast MRI","Genomic testing to guide treatment"},'SERVICE ENTRY'!$C$4:$C$1200,'County Report'!A59))+SUM(COUNTIFS('SERVICE ENTRY'!$AK$4:$AK$1200,{"Diagnostic mammogram","Breast ultrasound","Biopsy","Breast MRI","Genomic testing to guide treatment"},'SERVICE ENTRY'!$C$4:$C$1200,'County Report'!A59))</f>
        <v>0</v>
      </c>
      <c r="G59" s="239">
        <f>SUM(COUNTIFS('SERVICE ENTRY'!$C$4:$C$1200,'County Report'!A59,'SERVICE ENTRY'!$BE$4:$BE$1200,{"0-30 days","31-60 days","61-90 days","More than 90 days","Unknown"}))</f>
        <v>0</v>
      </c>
      <c r="H59" s="91">
        <f>SUM(COUNTIFS('SERVICE ENTRY'!$AP$4:$AP$1200,{"Chemotherapy","Radiation therapy","Surgery","Hormone therapy","Targeted Therapy"},'SERVICE ENTRY'!$C$4:$C$1200,'County Report'!A59))+SUM(COUNTIFS('SERVICE ENTRY'!$AQ$4:$AQ$1200,{"Chemotherapy","Radiation therapy","Surgery","Hormone therapy","Targeted Therapy"},'SERVICE ENTRY'!$C$4:$C$1200,'County Report'!A59))+SUM(COUNTIFS('SERVICE ENTRY'!$AR$4:$AR$1200,{"Chemotherapy","Radiation therapy","Surgery","Hormone therapy","Targeted Therapy"},'SERVICE ENTRY'!$C$4:$C$1200,'County Report'!A59))</f>
        <v>0</v>
      </c>
      <c r="I59" s="91">
        <f>SUM(COUNTIFS('SERVICE ENTRY'!$C$4:$C$1200,'County Report'!A59,'SERVICE ENTRY'!$BH$4:$BH$1200,{"0-30 days","31-60 days","61-90 days","More than 90 days","Unknown"}))</f>
        <v>0</v>
      </c>
      <c r="J59"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Report'!A59))+SUM(COUNTIFS('SERVICE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Report'!A59))+SUM(COUNTIFS('SERVICE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Report'!A59))</f>
        <v>0</v>
      </c>
      <c r="K59" s="91">
        <f>SUM(COUNTIFS('SERVICE ENTRY'!$AW$4:$AW$1200,{"Transportation","Interpretation/translation services","Co-pay/deductible assistance","Daily living expenses","Childcare"},'SERVICE ENTRY'!$C$4:$C$1200,'County Report'!A59))+SUM(COUNTIFS('SERVICE ENTRY'!$AX$4:$AX$1200,{"Transportation","Interpretation/translation services","Co-pay/deductible assistance","Daily living expenses","Childcare"},'SERVICE ENTRY'!$C$4:$C$1200,'County Report'!A59))+SUM(COUNTIFS('SERVICE ENTRY'!$AY$4:$AY$1200,{"Transportation","Interpretation/translation services","Co-pay/deductible assistance","Daily living expenses","Childcare"},'SERVICE ENTRY'!$C$4:$C$1200,'County Report'!A59))+SUM(COUNTIFS('SERVICE ENTRY'!$AZ$4:$AZ$1200,{"Transportation","Interpretation/translation services","Co-pay/deductible assistance","Daily living expenses","Childcare"},'SERVICE ENTRY'!$C$4:$C$1200,'County Report'!A59))+SUM(COUNTIFS('SERVICE ENTRY'!$BA$4:$BA$1200,{"Transportation","Interpretation/translation services","Co-pay/deductible assistance","Daily living expenses","Childcare"},'SERVICE ENTRY'!$C$4:$C$1200,'County Report'!A59))</f>
        <v>0</v>
      </c>
      <c r="L59" s="187"/>
    </row>
    <row r="60" spans="1:12" x14ac:dyDescent="0.25">
      <c r="A60" s="167" t="s">
        <v>681</v>
      </c>
      <c r="B60" s="91">
        <f>COUNTIF('SERVICE ENTRY'!$C$4:$C$1200,'County Report'!A60)</f>
        <v>0</v>
      </c>
      <c r="C60" s="124">
        <f>SUMIF('SERVICE ENTRY'!$C$4:$C$1200,'County Report'!A60,'SERVICE ENTRY'!$N$4:$N$1200)</f>
        <v>0</v>
      </c>
      <c r="D60" s="91">
        <f>SUM(COUNTIFS('SERVICE ENTRY'!$C$4:$C$1200,'County Report'!A60,'SERVICE ENTRY'!$AC$4:$AC$1200,{"Mammogram","Clinical breast exam","Genetic testing/counseling"}),COUNTIFS('SERVICE ENTRY'!$C$4:$C$1200,'County Report'!A60,'SERVICE ENTRY'!$AD$4:$AD$1200,{"Mammogram","Clinical breast exam","Genetic testing/counseling"}))</f>
        <v>0</v>
      </c>
      <c r="E60" s="91">
        <f>COUNTIFS('SERVICE ENTRY'!$C$4:$C$1200,'County Report'!A60,'SERVICE ENTRY'!$BB$4:$BB$1200,"0-30 days")+COUNTIFS('SERVICE ENTRY'!$C$4:$C$1200,'County Report'!A60,'SERVICE ENTRY'!$BB$4:$BB$1200,"31-60 days")+COUNTIFS('SERVICE ENTRY'!$C$4:$C$1200,'County Report'!A60,'SERVICE ENTRY'!$BB$4:$BB$1200,"61-90 days")++COUNTIFS('SERVICE ENTRY'!$C$4:$C$1200,'County Report'!A60,'SERVICE ENTRY'!$BB$4:$BB$1200,"More than 90 days")+COUNTIFS('SERVICE ENTRY'!$C$4:$C$1200,'County Report'!A60,'SERVICE ENTRY'!$BB$4:$BB$1200,"Unknown")</f>
        <v>0</v>
      </c>
      <c r="F60" s="91">
        <f>SUM(COUNTIFS('SERVICE ENTRY'!$AJ$4:$AJ$1200,{"Diagnostic mammogram","Breast ultrasound","Biopsy","Breast MRI","Genomic testing to guide treatment"},'SERVICE ENTRY'!$C$4:$C$1200,'County Report'!A60))+SUM(COUNTIFS('SERVICE ENTRY'!$AK$4:$AK$1200,{"Diagnostic mammogram","Breast ultrasound","Biopsy","Breast MRI","Genomic testing to guide treatment"},'SERVICE ENTRY'!$C$4:$C$1200,'County Report'!A60))</f>
        <v>0</v>
      </c>
      <c r="G60" s="239">
        <f>SUM(COUNTIFS('SERVICE ENTRY'!$C$4:$C$1200,'County Report'!A60,'SERVICE ENTRY'!$BE$4:$BE$1200,{"0-30 days","31-60 days","61-90 days","More than 90 days","Unknown"}))</f>
        <v>0</v>
      </c>
      <c r="H60" s="91">
        <f>SUM(COUNTIFS('SERVICE ENTRY'!$AP$4:$AP$1200,{"Chemotherapy","Radiation therapy","Surgery","Hormone therapy","Targeted Therapy"},'SERVICE ENTRY'!$C$4:$C$1200,'County Report'!A60))+SUM(COUNTIFS('SERVICE ENTRY'!$AQ$4:$AQ$1200,{"Chemotherapy","Radiation therapy","Surgery","Hormone therapy","Targeted Therapy"},'SERVICE ENTRY'!$C$4:$C$1200,'County Report'!A60))+SUM(COUNTIFS('SERVICE ENTRY'!$AR$4:$AR$1200,{"Chemotherapy","Radiation therapy","Surgery","Hormone therapy","Targeted Therapy"},'SERVICE ENTRY'!$C$4:$C$1200,'County Report'!A60))</f>
        <v>0</v>
      </c>
      <c r="I60" s="91">
        <f>SUM(COUNTIFS('SERVICE ENTRY'!$C$4:$C$1200,'County Report'!A60,'SERVICE ENTRY'!$BH$4:$BH$1200,{"0-30 days","31-60 days","61-90 days","More than 90 days","Unknown"}))</f>
        <v>0</v>
      </c>
      <c r="J60"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Report'!A60))+SUM(COUNTIFS('SERVICE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Report'!A60))+SUM(COUNTIFS('SERVICE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Report'!A60))</f>
        <v>0</v>
      </c>
      <c r="K60" s="91">
        <f>SUM(COUNTIFS('SERVICE ENTRY'!$AW$4:$AW$1200,{"Transportation","Interpretation/translation services","Co-pay/deductible assistance","Daily living expenses","Childcare"},'SERVICE ENTRY'!$C$4:$C$1200,'County Report'!A60))+SUM(COUNTIFS('SERVICE ENTRY'!$AX$4:$AX$1200,{"Transportation","Interpretation/translation services","Co-pay/deductible assistance","Daily living expenses","Childcare"},'SERVICE ENTRY'!$C$4:$C$1200,'County Report'!A60))+SUM(COUNTIFS('SERVICE ENTRY'!$AY$4:$AY$1200,{"Transportation","Interpretation/translation services","Co-pay/deductible assistance","Daily living expenses","Childcare"},'SERVICE ENTRY'!$C$4:$C$1200,'County Report'!A60))+SUM(COUNTIFS('SERVICE ENTRY'!$AZ$4:$AZ$1200,{"Transportation","Interpretation/translation services","Co-pay/deductible assistance","Daily living expenses","Childcare"},'SERVICE ENTRY'!$C$4:$C$1200,'County Report'!A60))+SUM(COUNTIFS('SERVICE ENTRY'!$BA$4:$BA$1200,{"Transportation","Interpretation/translation services","Co-pay/deductible assistance","Daily living expenses","Childcare"},'SERVICE ENTRY'!$C$4:$C$1200,'County Report'!A60))</f>
        <v>0</v>
      </c>
      <c r="L60" s="187"/>
    </row>
    <row r="61" spans="1:12" x14ac:dyDescent="0.25">
      <c r="A61" s="167" t="s">
        <v>682</v>
      </c>
      <c r="B61" s="91">
        <f>COUNTIF('SERVICE ENTRY'!$C$4:$C$1200,'County Report'!A61)</f>
        <v>0</v>
      </c>
      <c r="C61" s="124">
        <f>SUMIF('SERVICE ENTRY'!$C$4:$C$1200,'County Report'!A61,'SERVICE ENTRY'!$N$4:$N$1200)</f>
        <v>0</v>
      </c>
      <c r="D61" s="91">
        <f>SUM(COUNTIFS('SERVICE ENTRY'!$C$4:$C$1200,'County Report'!A61,'SERVICE ENTRY'!$AC$4:$AC$1200,{"Mammogram","Clinical breast exam","Genetic testing/counseling"}),COUNTIFS('SERVICE ENTRY'!$C$4:$C$1200,'County Report'!A61,'SERVICE ENTRY'!$AD$4:$AD$1200,{"Mammogram","Clinical breast exam","Genetic testing/counseling"}))</f>
        <v>0</v>
      </c>
      <c r="E61" s="91">
        <f>COUNTIFS('SERVICE ENTRY'!$C$4:$C$1200,'County Report'!A61,'SERVICE ENTRY'!$BB$4:$BB$1200,"0-30 days")+COUNTIFS('SERVICE ENTRY'!$C$4:$C$1200,'County Report'!A61,'SERVICE ENTRY'!$BB$4:$BB$1200,"31-60 days")+COUNTIFS('SERVICE ENTRY'!$C$4:$C$1200,'County Report'!A61,'SERVICE ENTRY'!$BB$4:$BB$1200,"61-90 days")++COUNTIFS('SERVICE ENTRY'!$C$4:$C$1200,'County Report'!A61,'SERVICE ENTRY'!$BB$4:$BB$1200,"More than 90 days")+COUNTIFS('SERVICE ENTRY'!$C$4:$C$1200,'County Report'!A61,'SERVICE ENTRY'!$BB$4:$BB$1200,"Unknown")</f>
        <v>0</v>
      </c>
      <c r="F61" s="91">
        <f>SUM(COUNTIFS('SERVICE ENTRY'!$AJ$4:$AJ$1200,{"Diagnostic mammogram","Breast ultrasound","Biopsy","Breast MRI","Genomic testing to guide treatment"},'SERVICE ENTRY'!$C$4:$C$1200,'County Report'!A61))+SUM(COUNTIFS('SERVICE ENTRY'!$AK$4:$AK$1200,{"Diagnostic mammogram","Breast ultrasound","Biopsy","Breast MRI","Genomic testing to guide treatment"},'SERVICE ENTRY'!$C$4:$C$1200,'County Report'!A61))</f>
        <v>0</v>
      </c>
      <c r="G61" s="239">
        <f>SUM(COUNTIFS('SERVICE ENTRY'!$C$4:$C$1200,'County Report'!A61,'SERVICE ENTRY'!$BE$4:$BE$1200,{"0-30 days","31-60 days","61-90 days","More than 90 days","Unknown"}))</f>
        <v>0</v>
      </c>
      <c r="H61" s="91">
        <f>SUM(COUNTIFS('SERVICE ENTRY'!$AP$4:$AP$1200,{"Chemotherapy","Radiation therapy","Surgery","Hormone therapy","Targeted Therapy"},'SERVICE ENTRY'!$C$4:$C$1200,'County Report'!A61))+SUM(COUNTIFS('SERVICE ENTRY'!$AQ$4:$AQ$1200,{"Chemotherapy","Radiation therapy","Surgery","Hormone therapy","Targeted Therapy"},'SERVICE ENTRY'!$C$4:$C$1200,'County Report'!A61))+SUM(COUNTIFS('SERVICE ENTRY'!$AR$4:$AR$1200,{"Chemotherapy","Radiation therapy","Surgery","Hormone therapy","Targeted Therapy"},'SERVICE ENTRY'!$C$4:$C$1200,'County Report'!A61))</f>
        <v>0</v>
      </c>
      <c r="I61" s="91">
        <f>SUM(COUNTIFS('SERVICE ENTRY'!$C$4:$C$1200,'County Report'!A61,'SERVICE ENTRY'!$BH$4:$BH$1200,{"0-30 days","31-60 days","61-90 days","More than 90 days","Unknown"}))</f>
        <v>0</v>
      </c>
      <c r="J61"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Report'!A61))+SUM(COUNTIFS('SERVICE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Report'!A61))+SUM(COUNTIFS('SERVICE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Report'!A61))</f>
        <v>0</v>
      </c>
      <c r="K61" s="91">
        <f>SUM(COUNTIFS('SERVICE ENTRY'!$AW$4:$AW$1200,{"Transportation","Interpretation/translation services","Co-pay/deductible assistance","Daily living expenses","Childcare"},'SERVICE ENTRY'!$C$4:$C$1200,'County Report'!A61))+SUM(COUNTIFS('SERVICE ENTRY'!$AX$4:$AX$1200,{"Transportation","Interpretation/translation services","Co-pay/deductible assistance","Daily living expenses","Childcare"},'SERVICE ENTRY'!$C$4:$C$1200,'County Report'!A61))+SUM(COUNTIFS('SERVICE ENTRY'!$AY$4:$AY$1200,{"Transportation","Interpretation/translation services","Co-pay/deductible assistance","Daily living expenses","Childcare"},'SERVICE ENTRY'!$C$4:$C$1200,'County Report'!A61))+SUM(COUNTIFS('SERVICE ENTRY'!$AZ$4:$AZ$1200,{"Transportation","Interpretation/translation services","Co-pay/deductible assistance","Daily living expenses","Childcare"},'SERVICE ENTRY'!$C$4:$C$1200,'County Report'!A61))+SUM(COUNTIFS('SERVICE ENTRY'!$BA$4:$BA$1200,{"Transportation","Interpretation/translation services","Co-pay/deductible assistance","Daily living expenses","Childcare"},'SERVICE ENTRY'!$C$4:$C$1200,'County Report'!A61))</f>
        <v>0</v>
      </c>
      <c r="L61" s="187"/>
    </row>
    <row r="62" spans="1:12" x14ac:dyDescent="0.25">
      <c r="A62" s="167" t="s">
        <v>683</v>
      </c>
      <c r="B62" s="91">
        <f>COUNTIF('SERVICE ENTRY'!$C$4:$C$1200,'County Report'!A62)</f>
        <v>0</v>
      </c>
      <c r="C62" s="124">
        <f>SUMIF('SERVICE ENTRY'!$C$4:$C$1200,'County Report'!A62,'SERVICE ENTRY'!$N$4:$N$1200)</f>
        <v>0</v>
      </c>
      <c r="D62" s="91">
        <f>SUM(COUNTIFS('SERVICE ENTRY'!$C$4:$C$1200,'County Report'!A62,'SERVICE ENTRY'!$AC$4:$AC$1200,{"Mammogram","Clinical breast exam","Genetic testing/counseling"}),COUNTIFS('SERVICE ENTRY'!$C$4:$C$1200,'County Report'!A62,'SERVICE ENTRY'!$AD$4:$AD$1200,{"Mammogram","Clinical breast exam","Genetic testing/counseling"}))</f>
        <v>0</v>
      </c>
      <c r="E62" s="91">
        <f>COUNTIFS('SERVICE ENTRY'!$C$4:$C$1200,'County Report'!A62,'SERVICE ENTRY'!$BB$4:$BB$1200,"0-30 days")+COUNTIFS('SERVICE ENTRY'!$C$4:$C$1200,'County Report'!A62,'SERVICE ENTRY'!$BB$4:$BB$1200,"31-60 days")+COUNTIFS('SERVICE ENTRY'!$C$4:$C$1200,'County Report'!A62,'SERVICE ENTRY'!$BB$4:$BB$1200,"61-90 days")++COUNTIFS('SERVICE ENTRY'!$C$4:$C$1200,'County Report'!A62,'SERVICE ENTRY'!$BB$4:$BB$1200,"More than 90 days")+COUNTIFS('SERVICE ENTRY'!$C$4:$C$1200,'County Report'!A62,'SERVICE ENTRY'!$BB$4:$BB$1200,"Unknown")</f>
        <v>0</v>
      </c>
      <c r="F62" s="91">
        <f>SUM(COUNTIFS('SERVICE ENTRY'!$AJ$4:$AJ$1200,{"Diagnostic mammogram","Breast ultrasound","Biopsy","Breast MRI","Genomic testing to guide treatment"},'SERVICE ENTRY'!$C$4:$C$1200,'County Report'!A62))+SUM(COUNTIFS('SERVICE ENTRY'!$AK$4:$AK$1200,{"Diagnostic mammogram","Breast ultrasound","Biopsy","Breast MRI","Genomic testing to guide treatment"},'SERVICE ENTRY'!$C$4:$C$1200,'County Report'!A62))</f>
        <v>0</v>
      </c>
      <c r="G62" s="239">
        <f>SUM(COUNTIFS('SERVICE ENTRY'!$C$4:$C$1200,'County Report'!A62,'SERVICE ENTRY'!$BE$4:$BE$1200,{"0-30 days","31-60 days","61-90 days","More than 90 days","Unknown"}))</f>
        <v>0</v>
      </c>
      <c r="H62" s="91">
        <f>SUM(COUNTIFS('SERVICE ENTRY'!$AP$4:$AP$1200,{"Chemotherapy","Radiation therapy","Surgery","Hormone therapy","Targeted Therapy"},'SERVICE ENTRY'!$C$4:$C$1200,'County Report'!A62))+SUM(COUNTIFS('SERVICE ENTRY'!$AQ$4:$AQ$1200,{"Chemotherapy","Radiation therapy","Surgery","Hormone therapy","Targeted Therapy"},'SERVICE ENTRY'!$C$4:$C$1200,'County Report'!A62))+SUM(COUNTIFS('SERVICE ENTRY'!$AR$4:$AR$1200,{"Chemotherapy","Radiation therapy","Surgery","Hormone therapy","Targeted Therapy"},'SERVICE ENTRY'!$C$4:$C$1200,'County Report'!A62))</f>
        <v>0</v>
      </c>
      <c r="I62" s="91">
        <f>SUM(COUNTIFS('SERVICE ENTRY'!$C$4:$C$1200,'County Report'!A62,'SERVICE ENTRY'!$BH$4:$BH$1200,{"0-30 days","31-60 days","61-90 days","More than 90 days","Unknown"}))</f>
        <v>0</v>
      </c>
      <c r="J62"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Report'!A62))+SUM(COUNTIFS('SERVICE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Report'!A62))+SUM(COUNTIFS('SERVICE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Report'!A62))</f>
        <v>0</v>
      </c>
      <c r="K62" s="91">
        <f>SUM(COUNTIFS('SERVICE ENTRY'!$AW$4:$AW$1200,{"Transportation","Interpretation/translation services","Co-pay/deductible assistance","Daily living expenses","Childcare"},'SERVICE ENTRY'!$C$4:$C$1200,'County Report'!A62))+SUM(COUNTIFS('SERVICE ENTRY'!$AX$4:$AX$1200,{"Transportation","Interpretation/translation services","Co-pay/deductible assistance","Daily living expenses","Childcare"},'SERVICE ENTRY'!$C$4:$C$1200,'County Report'!A62))+SUM(COUNTIFS('SERVICE ENTRY'!$AY$4:$AY$1200,{"Transportation","Interpretation/translation services","Co-pay/deductible assistance","Daily living expenses","Childcare"},'SERVICE ENTRY'!$C$4:$C$1200,'County Report'!A62))+SUM(COUNTIFS('SERVICE ENTRY'!$AZ$4:$AZ$1200,{"Transportation","Interpretation/translation services","Co-pay/deductible assistance","Daily living expenses","Childcare"},'SERVICE ENTRY'!$C$4:$C$1200,'County Report'!A62))+SUM(COUNTIFS('SERVICE ENTRY'!$BA$4:$BA$1200,{"Transportation","Interpretation/translation services","Co-pay/deductible assistance","Daily living expenses","Childcare"},'SERVICE ENTRY'!$C$4:$C$1200,'County Report'!A62))</f>
        <v>0</v>
      </c>
      <c r="L62" s="187"/>
    </row>
    <row r="63" spans="1:12" x14ac:dyDescent="0.25">
      <c r="A63" s="167" t="s">
        <v>684</v>
      </c>
      <c r="B63" s="91">
        <f>COUNTIF('SERVICE ENTRY'!$C$4:$C$1200,'County Report'!A63)</f>
        <v>0</v>
      </c>
      <c r="C63" s="124">
        <f>SUMIF('SERVICE ENTRY'!$C$4:$C$1200,'County Report'!A63,'SERVICE ENTRY'!$N$4:$N$1200)</f>
        <v>0</v>
      </c>
      <c r="D63" s="91">
        <f>SUM(COUNTIFS('SERVICE ENTRY'!$C$4:$C$1200,'County Report'!A63,'SERVICE ENTRY'!$AC$4:$AC$1200,{"Mammogram","Clinical breast exam","Genetic testing/counseling"}),COUNTIFS('SERVICE ENTRY'!$C$4:$C$1200,'County Report'!A63,'SERVICE ENTRY'!$AD$4:$AD$1200,{"Mammogram","Clinical breast exam","Genetic testing/counseling"}))</f>
        <v>0</v>
      </c>
      <c r="E63" s="91">
        <f>COUNTIFS('SERVICE ENTRY'!$C$4:$C$1200,'County Report'!A63,'SERVICE ENTRY'!$BB$4:$BB$1200,"0-30 days")+COUNTIFS('SERVICE ENTRY'!$C$4:$C$1200,'County Report'!A63,'SERVICE ENTRY'!$BB$4:$BB$1200,"31-60 days")+COUNTIFS('SERVICE ENTRY'!$C$4:$C$1200,'County Report'!A63,'SERVICE ENTRY'!$BB$4:$BB$1200,"61-90 days")++COUNTIFS('SERVICE ENTRY'!$C$4:$C$1200,'County Report'!A63,'SERVICE ENTRY'!$BB$4:$BB$1200,"More than 90 days")+COUNTIFS('SERVICE ENTRY'!$C$4:$C$1200,'County Report'!A63,'SERVICE ENTRY'!$BB$4:$BB$1200,"Unknown")</f>
        <v>0</v>
      </c>
      <c r="F63" s="91">
        <f>SUM(COUNTIFS('SERVICE ENTRY'!$AJ$4:$AJ$1200,{"Diagnostic mammogram","Breast ultrasound","Biopsy","Breast MRI","Genomic testing to guide treatment"},'SERVICE ENTRY'!$C$4:$C$1200,'County Report'!A63))+SUM(COUNTIFS('SERVICE ENTRY'!$AK$4:$AK$1200,{"Diagnostic mammogram","Breast ultrasound","Biopsy","Breast MRI","Genomic testing to guide treatment"},'SERVICE ENTRY'!$C$4:$C$1200,'County Report'!A63))</f>
        <v>0</v>
      </c>
      <c r="G63" s="239">
        <f>SUM(COUNTIFS('SERVICE ENTRY'!$C$4:$C$1200,'County Report'!A63,'SERVICE ENTRY'!$BE$4:$BE$1200,{"0-30 days","31-60 days","61-90 days","More than 90 days","Unknown"}))</f>
        <v>0</v>
      </c>
      <c r="H63" s="91">
        <f>SUM(COUNTIFS('SERVICE ENTRY'!$AP$4:$AP$1200,{"Chemotherapy","Radiation therapy","Surgery","Hormone therapy","Targeted Therapy"},'SERVICE ENTRY'!$C$4:$C$1200,'County Report'!A63))+SUM(COUNTIFS('SERVICE ENTRY'!$AQ$4:$AQ$1200,{"Chemotherapy","Radiation therapy","Surgery","Hormone therapy","Targeted Therapy"},'SERVICE ENTRY'!$C$4:$C$1200,'County Report'!A63))+SUM(COUNTIFS('SERVICE ENTRY'!$AR$4:$AR$1200,{"Chemotherapy","Radiation therapy","Surgery","Hormone therapy","Targeted Therapy"},'SERVICE ENTRY'!$C$4:$C$1200,'County Report'!A63))</f>
        <v>0</v>
      </c>
      <c r="I63" s="91">
        <f>SUM(COUNTIFS('SERVICE ENTRY'!$C$4:$C$1200,'County Report'!A63,'SERVICE ENTRY'!$BH$4:$BH$1200,{"0-30 days","31-60 days","61-90 days","More than 90 days","Unknown"}))</f>
        <v>0</v>
      </c>
      <c r="J63"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Report'!A63))+SUM(COUNTIFS('SERVICE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Report'!A63))+SUM(COUNTIFS('SERVICE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Report'!A63))</f>
        <v>0</v>
      </c>
      <c r="K63" s="91">
        <f>SUM(COUNTIFS('SERVICE ENTRY'!$AW$4:$AW$1200,{"Transportation","Interpretation/translation services","Co-pay/deductible assistance","Daily living expenses","Childcare"},'SERVICE ENTRY'!$C$4:$C$1200,'County Report'!A63))+SUM(COUNTIFS('SERVICE ENTRY'!$AX$4:$AX$1200,{"Transportation","Interpretation/translation services","Co-pay/deductible assistance","Daily living expenses","Childcare"},'SERVICE ENTRY'!$C$4:$C$1200,'County Report'!A63))+SUM(COUNTIFS('SERVICE ENTRY'!$AY$4:$AY$1200,{"Transportation","Interpretation/translation services","Co-pay/deductible assistance","Daily living expenses","Childcare"},'SERVICE ENTRY'!$C$4:$C$1200,'County Report'!A63))+SUM(COUNTIFS('SERVICE ENTRY'!$AZ$4:$AZ$1200,{"Transportation","Interpretation/translation services","Co-pay/deductible assistance","Daily living expenses","Childcare"},'SERVICE ENTRY'!$C$4:$C$1200,'County Report'!A63))+SUM(COUNTIFS('SERVICE ENTRY'!$BA$4:$BA$1200,{"Transportation","Interpretation/translation services","Co-pay/deductible assistance","Daily living expenses","Childcare"},'SERVICE ENTRY'!$C$4:$C$1200,'County Report'!A63))</f>
        <v>0</v>
      </c>
      <c r="L63" s="187"/>
    </row>
    <row r="64" spans="1:12" x14ac:dyDescent="0.25">
      <c r="A64" s="167" t="s">
        <v>685</v>
      </c>
      <c r="B64" s="91">
        <f>COUNTIF('SERVICE ENTRY'!$C$4:$C$1200,'County Report'!A64)</f>
        <v>0</v>
      </c>
      <c r="C64" s="124">
        <f>SUMIF('SERVICE ENTRY'!$C$4:$C$1200,'County Report'!A64,'SERVICE ENTRY'!$N$4:$N$1200)</f>
        <v>0</v>
      </c>
      <c r="D64" s="91">
        <f>SUM(COUNTIFS('SERVICE ENTRY'!$C$4:$C$1200,'County Report'!A64,'SERVICE ENTRY'!$AC$4:$AC$1200,{"Mammogram","Clinical breast exam","Genetic testing/counseling"}),COUNTIFS('SERVICE ENTRY'!$C$4:$C$1200,'County Report'!A64,'SERVICE ENTRY'!$AD$4:$AD$1200,{"Mammogram","Clinical breast exam","Genetic testing/counseling"}))</f>
        <v>0</v>
      </c>
      <c r="E64" s="91">
        <f>COUNTIFS('SERVICE ENTRY'!$C$4:$C$1200,'County Report'!A64,'SERVICE ENTRY'!$BB$4:$BB$1200,"0-30 days")+COUNTIFS('SERVICE ENTRY'!$C$4:$C$1200,'County Report'!A64,'SERVICE ENTRY'!$BB$4:$BB$1200,"31-60 days")+COUNTIFS('SERVICE ENTRY'!$C$4:$C$1200,'County Report'!A64,'SERVICE ENTRY'!$BB$4:$BB$1200,"61-90 days")++COUNTIFS('SERVICE ENTRY'!$C$4:$C$1200,'County Report'!A64,'SERVICE ENTRY'!$BB$4:$BB$1200,"More than 90 days")+COUNTIFS('SERVICE ENTRY'!$C$4:$C$1200,'County Report'!A64,'SERVICE ENTRY'!$BB$4:$BB$1200,"Unknown")</f>
        <v>0</v>
      </c>
      <c r="F64" s="91">
        <f>SUM(COUNTIFS('SERVICE ENTRY'!$AJ$4:$AJ$1200,{"Diagnostic mammogram","Breast ultrasound","Biopsy","Breast MRI","Genomic testing to guide treatment"},'SERVICE ENTRY'!$C$4:$C$1200,'County Report'!A64))+SUM(COUNTIFS('SERVICE ENTRY'!$AK$4:$AK$1200,{"Diagnostic mammogram","Breast ultrasound","Biopsy","Breast MRI","Genomic testing to guide treatment"},'SERVICE ENTRY'!$C$4:$C$1200,'County Report'!A64))</f>
        <v>0</v>
      </c>
      <c r="G64" s="239">
        <f>SUM(COUNTIFS('SERVICE ENTRY'!$C$4:$C$1200,'County Report'!A64,'SERVICE ENTRY'!$BE$4:$BE$1200,{"0-30 days","31-60 days","61-90 days","More than 90 days","Unknown"}))</f>
        <v>0</v>
      </c>
      <c r="H64" s="91">
        <f>SUM(COUNTIFS('SERVICE ENTRY'!$AP$4:$AP$1200,{"Chemotherapy","Radiation therapy","Surgery","Hormone therapy","Targeted Therapy"},'SERVICE ENTRY'!$C$4:$C$1200,'County Report'!A64))+SUM(COUNTIFS('SERVICE ENTRY'!$AQ$4:$AQ$1200,{"Chemotherapy","Radiation therapy","Surgery","Hormone therapy","Targeted Therapy"},'SERVICE ENTRY'!$C$4:$C$1200,'County Report'!A64))+SUM(COUNTIFS('SERVICE ENTRY'!$AR$4:$AR$1200,{"Chemotherapy","Radiation therapy","Surgery","Hormone therapy","Targeted Therapy"},'SERVICE ENTRY'!$C$4:$C$1200,'County Report'!A64))</f>
        <v>0</v>
      </c>
      <c r="I64" s="91">
        <f>SUM(COUNTIFS('SERVICE ENTRY'!$C$4:$C$1200,'County Report'!A64,'SERVICE ENTRY'!$BH$4:$BH$1200,{"0-30 days","31-60 days","61-90 days","More than 90 days","Unknown"}))</f>
        <v>0</v>
      </c>
      <c r="J64"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Report'!A64))+SUM(COUNTIFS('SERVICE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Report'!A64))+SUM(COUNTIFS('SERVICE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Report'!A64))</f>
        <v>0</v>
      </c>
      <c r="K64" s="91">
        <f>SUM(COUNTIFS('SERVICE ENTRY'!$AW$4:$AW$1200,{"Transportation","Interpretation/translation services","Co-pay/deductible assistance","Daily living expenses","Childcare"},'SERVICE ENTRY'!$C$4:$C$1200,'County Report'!A64))+SUM(COUNTIFS('SERVICE ENTRY'!$AX$4:$AX$1200,{"Transportation","Interpretation/translation services","Co-pay/deductible assistance","Daily living expenses","Childcare"},'SERVICE ENTRY'!$C$4:$C$1200,'County Report'!A64))+SUM(COUNTIFS('SERVICE ENTRY'!$AY$4:$AY$1200,{"Transportation","Interpretation/translation services","Co-pay/deductible assistance","Daily living expenses","Childcare"},'SERVICE ENTRY'!$C$4:$C$1200,'County Report'!A64))+SUM(COUNTIFS('SERVICE ENTRY'!$AZ$4:$AZ$1200,{"Transportation","Interpretation/translation services","Co-pay/deductible assistance","Daily living expenses","Childcare"},'SERVICE ENTRY'!$C$4:$C$1200,'County Report'!A64))+SUM(COUNTIFS('SERVICE ENTRY'!$BA$4:$BA$1200,{"Transportation","Interpretation/translation services","Co-pay/deductible assistance","Daily living expenses","Childcare"},'SERVICE ENTRY'!$C$4:$C$1200,'County Report'!A64))</f>
        <v>0</v>
      </c>
      <c r="L64" s="187"/>
    </row>
    <row r="65" spans="1:12" ht="15.75" thickBot="1" x14ac:dyDescent="0.3">
      <c r="A65" s="167" t="s">
        <v>686</v>
      </c>
      <c r="B65" s="91">
        <f>COUNTIF('SERVICE ENTRY'!$C$4:$C$1200,'County Report'!A65)</f>
        <v>0</v>
      </c>
      <c r="C65" s="124">
        <f>SUMIF('SERVICE ENTRY'!$C$4:$C$1200,'County Report'!A65,'SERVICE ENTRY'!$N$4:$N$1200)</f>
        <v>0</v>
      </c>
      <c r="D65" s="91">
        <f>SUM(COUNTIFS('SERVICE ENTRY'!$C$4:$C$1200,'County Report'!A65,'SERVICE ENTRY'!$AC$4:$AC$1200,{"Mammogram","Clinical breast exam","Genetic testing/counseling"}),COUNTIFS('SERVICE ENTRY'!$C$4:$C$1200,'County Report'!A65,'SERVICE ENTRY'!$AD$4:$AD$1200,{"Mammogram","Clinical breast exam","Genetic testing/counseling"}))</f>
        <v>0</v>
      </c>
      <c r="E65" s="91">
        <f>COUNTIFS('SERVICE ENTRY'!$C$4:$C$1200,'County Report'!A65,'SERVICE ENTRY'!$BB$4:$BB$1200,"0-30 days")+COUNTIFS('SERVICE ENTRY'!$C$4:$C$1200,'County Report'!A65,'SERVICE ENTRY'!$BB$4:$BB$1200,"31-60 days")+COUNTIFS('SERVICE ENTRY'!$C$4:$C$1200,'County Report'!A65,'SERVICE ENTRY'!$BB$4:$BB$1200,"61-90 days")++COUNTIFS('SERVICE ENTRY'!$C$4:$C$1200,'County Report'!A65,'SERVICE ENTRY'!$BB$4:$BB$1200,"More than 90 days")+COUNTIFS('SERVICE ENTRY'!$C$4:$C$1200,'County Report'!A65,'SERVICE ENTRY'!$BB$4:$BB$1200,"Unknown")</f>
        <v>0</v>
      </c>
      <c r="F65" s="91">
        <f>SUM(COUNTIFS('SERVICE ENTRY'!$AJ$4:$AJ$1200,{"Diagnostic mammogram","Breast ultrasound","Biopsy","Breast MRI","Genomic testing to guide treatment"},'SERVICE ENTRY'!$C$4:$C$1200,'County Report'!A65))+SUM(COUNTIFS('SERVICE ENTRY'!$AK$4:$AK$1200,{"Diagnostic mammogram","Breast ultrasound","Biopsy","Breast MRI","Genomic testing to guide treatment"},'SERVICE ENTRY'!$C$4:$C$1200,'County Report'!A65))</f>
        <v>0</v>
      </c>
      <c r="G65" s="239">
        <f>SUM(COUNTIFS('SERVICE ENTRY'!$C$4:$C$1200,'County Report'!A65,'SERVICE ENTRY'!$BE$4:$BE$1200,{"0-30 days","31-60 days","61-90 days","More than 90 days","Unknown"}))</f>
        <v>0</v>
      </c>
      <c r="H65" s="91">
        <f>SUM(COUNTIFS('SERVICE ENTRY'!$AP$4:$AP$1200,{"Chemotherapy","Radiation therapy","Surgery","Hormone therapy","Targeted Therapy"},'SERVICE ENTRY'!$C$4:$C$1200,'County Report'!A65))+SUM(COUNTIFS('SERVICE ENTRY'!$AQ$4:$AQ$1200,{"Chemotherapy","Radiation therapy","Surgery","Hormone therapy","Targeted Therapy"},'SERVICE ENTRY'!$C$4:$C$1200,'County Report'!A65))+SUM(COUNTIFS('SERVICE ENTRY'!$AR$4:$AR$1200,{"Chemotherapy","Radiation therapy","Surgery","Hormone therapy","Targeted Therapy"},'SERVICE ENTRY'!$C$4:$C$1200,'County Report'!A65))</f>
        <v>0</v>
      </c>
      <c r="I65" s="91">
        <f>SUM(COUNTIFS('SERVICE ENTRY'!$C$4:$C$1200,'County Report'!A65,'SERVICE ENTRY'!$BH$4:$BH$1200,{"0-30 days","31-60 days","61-90 days","More than 90 days","Unknown"}))</f>
        <v>0</v>
      </c>
      <c r="J65" s="105">
        <f>SUM(COUNTIFS('SERVICE ENTRY'!$AT$4:$AT$1200,{"Symptom management (e.g. anti-nausea meds or lymphedema therapy)","Complementary &amp; Integrative therapies","Psychosocial support - Group","Psychosocial support - Individual","Palliative care","Durable medical equipment (e.g. lymphedema sleeves)"},'SERVICE ENTRY'!$C$4:$C$1200,'County Report'!A65))+SUM(COUNTIFS('SERVICE ENTRY'!$AU$4:$AU$1200,{"Symptom management (e.g. anti-nausea meds or lymphedema therapy)","Complementary &amp; Integrative therapies","Psychosocial support - Group","Psychosocial support - Individual","Palliative care","Durable medical equipment (e.g. lymphedema sleeves)"},'SERVICE ENTRY'!$C$4:$C$1200,'County Report'!A65))+SUM(COUNTIFS('SERVICE ENTRY'!$AV$4:$AV$1200,{"Symptom management (e.g. anti-nausea meds or lymphedema therapy)","Complementary &amp; Integrative therapies","Psychosocial support - Group","Psychosocial support - Individual","Palliative care","Durable medical equipment (e.g. lymphedema sleeves)"},'SERVICE ENTRY'!$C$4:$C$1200,'County Report'!A65))</f>
        <v>0</v>
      </c>
      <c r="K65" s="91">
        <f>SUM(COUNTIFS('SERVICE ENTRY'!$AW$4:$AW$1200,{"Transportation","Interpretation/translation services","Co-pay/deductible assistance","Daily living expenses","Childcare"},'SERVICE ENTRY'!$C$4:$C$1200,'County Report'!A65))+SUM(COUNTIFS('SERVICE ENTRY'!$AX$4:$AX$1200,{"Transportation","Interpretation/translation services","Co-pay/deductible assistance","Daily living expenses","Childcare"},'SERVICE ENTRY'!$C$4:$C$1200,'County Report'!A65))+SUM(COUNTIFS('SERVICE ENTRY'!$AY$4:$AY$1200,{"Transportation","Interpretation/translation services","Co-pay/deductible assistance","Daily living expenses","Childcare"},'SERVICE ENTRY'!$C$4:$C$1200,'County Report'!A65))+SUM(COUNTIFS('SERVICE ENTRY'!$AZ$4:$AZ$1200,{"Transportation","Interpretation/translation services","Co-pay/deductible assistance","Daily living expenses","Childcare"},'SERVICE ENTRY'!$C$4:$C$1200,'County Report'!A65))+SUM(COUNTIFS('SERVICE ENTRY'!$BA$4:$BA$1200,{"Transportation","Interpretation/translation services","Co-pay/deductible assistance","Daily living expenses","Childcare"},'SERVICE ENTRY'!$C$4:$C$1200,'County Report'!A65))</f>
        <v>0</v>
      </c>
      <c r="L65" s="187"/>
    </row>
    <row r="66" spans="1:12" ht="15.75" thickBot="1" x14ac:dyDescent="0.3">
      <c r="A66" s="243" t="s">
        <v>328</v>
      </c>
      <c r="B66" s="246">
        <f t="shared" ref="B66:K66" si="0">SUM(B2:B65)</f>
        <v>0</v>
      </c>
      <c r="C66" s="246">
        <f t="shared" si="0"/>
        <v>0</v>
      </c>
      <c r="D66" s="246">
        <f t="shared" si="0"/>
        <v>0</v>
      </c>
      <c r="E66" s="246">
        <f t="shared" si="0"/>
        <v>0</v>
      </c>
      <c r="F66" s="246">
        <f t="shared" si="0"/>
        <v>0</v>
      </c>
      <c r="G66" s="246">
        <f t="shared" si="0"/>
        <v>0</v>
      </c>
      <c r="H66" s="246">
        <f t="shared" si="0"/>
        <v>0</v>
      </c>
      <c r="I66" s="246">
        <f t="shared" si="0"/>
        <v>0</v>
      </c>
      <c r="J66" s="246">
        <f t="shared" si="0"/>
        <v>0</v>
      </c>
      <c r="K66" s="246">
        <f t="shared" si="0"/>
        <v>0</v>
      </c>
    </row>
    <row r="67" spans="1:12" x14ac:dyDescent="0.25">
      <c r="C67" s="185"/>
      <c r="D67" s="185"/>
      <c r="E67" s="185"/>
      <c r="F67" s="185"/>
      <c r="G67" s="185"/>
      <c r="H67" s="242"/>
      <c r="I67" s="242"/>
      <c r="J67" s="242"/>
      <c r="K67" s="242"/>
    </row>
    <row r="68" spans="1:12" x14ac:dyDescent="0.25">
      <c r="C68" s="185"/>
      <c r="D68" s="185"/>
      <c r="E68" s="185"/>
      <c r="F68" s="185"/>
      <c r="G68" s="185"/>
      <c r="H68" s="242"/>
      <c r="I68" s="242"/>
      <c r="J68" s="242"/>
      <c r="K68" s="242"/>
    </row>
    <row r="69" spans="1:12" ht="36.75" customHeight="1" x14ac:dyDescent="0.25">
      <c r="A69" s="345" t="s">
        <v>337</v>
      </c>
      <c r="B69" s="140" t="s">
        <v>328</v>
      </c>
      <c r="C69" s="358" t="s">
        <v>326</v>
      </c>
      <c r="D69" s="359"/>
      <c r="E69" s="359"/>
      <c r="F69" s="359"/>
      <c r="G69" s="359"/>
      <c r="H69" s="359"/>
      <c r="I69" s="360"/>
      <c r="J69" s="361" t="s">
        <v>327</v>
      </c>
      <c r="K69" s="362"/>
      <c r="L69" s="362"/>
    </row>
    <row r="70" spans="1:12" ht="87" customHeight="1" x14ac:dyDescent="0.25">
      <c r="A70" s="345"/>
      <c r="B70" s="125" t="s">
        <v>339</v>
      </c>
      <c r="C70" s="143" t="s">
        <v>275</v>
      </c>
      <c r="D70" s="137" t="s">
        <v>276</v>
      </c>
      <c r="E70" s="137" t="s">
        <v>376</v>
      </c>
      <c r="F70" s="176" t="s">
        <v>374</v>
      </c>
      <c r="G70" s="144" t="s">
        <v>315</v>
      </c>
      <c r="H70" s="144" t="s">
        <v>274</v>
      </c>
      <c r="I70" s="144" t="s">
        <v>386</v>
      </c>
      <c r="J70" s="213" t="s">
        <v>309</v>
      </c>
      <c r="K70" s="233" t="s">
        <v>316</v>
      </c>
      <c r="L70" s="143" t="s">
        <v>386</v>
      </c>
    </row>
    <row r="71" spans="1:12" x14ac:dyDescent="0.25">
      <c r="A71" s="169" t="s">
        <v>623</v>
      </c>
      <c r="B71" s="126">
        <f>COUNTIF('SERVICE ENTRY'!$C$4:$C$1200,'County Report'!A71)</f>
        <v>0</v>
      </c>
      <c r="C71" s="124">
        <f>COUNTIFS('SERVICE ENTRY'!$C$4:$C$1200,'County Report'!A71,'SERVICE ENTRY'!$G$4:$G$1200,"American Indian or Alaska Native")</f>
        <v>0</v>
      </c>
      <c r="D71" s="91">
        <f>COUNTIFS('SERVICE ENTRY'!$C$4:$C$1200,'County Report'!A71,'SERVICE ENTRY'!$G$4:$G$1200,"Asian")</f>
        <v>0</v>
      </c>
      <c r="E71" s="91">
        <f>COUNTIFS('SERVICE ENTRY'!$C$4:$C$1200,'County Report'!A71,'SERVICE ENTRY'!$G$4:$G$1200,"Black/African-American")</f>
        <v>0</v>
      </c>
      <c r="F71" s="91">
        <f>COUNTIFS('SERVICE ENTRY'!$C$4:$C$1200,'County Report'!A71,'SERVICE ENTRY'!$G$4:$G$1200,"Middle Eastern or North African")</f>
        <v>0</v>
      </c>
      <c r="G71" s="105">
        <f>COUNTIFS('SERVICE ENTRY'!$C$4:$C$1200,'County Report'!A71,'SERVICE ENTRY'!$G$4:$G$1200,"Native Hawaiian or Pacific Islander")</f>
        <v>0</v>
      </c>
      <c r="H71" s="91">
        <f>COUNTIFS('SERVICE ENTRY'!$C$4:$C$1200,'County Report'!A71,'SERVICE ENTRY'!$G$4:$G$1200,"White")</f>
        <v>0</v>
      </c>
      <c r="I71" s="105">
        <f>COUNTIFS('SERVICE ENTRY'!$C$4:$C$1200,'County Report'!A71,'SERVICE ENTRY'!$G$4:$G$1200,"Unknown or Other")</f>
        <v>0</v>
      </c>
      <c r="J71" s="214">
        <f>COUNTIFS('SERVICE ENTRY'!$C$4:$C$1200,'County Report'!A71,'SERVICE ENTRY'!$F$4:$F$1200,"Colombian")+COUNTIFS('SERVICE ENTRY'!$C$4:$C$1200,'County Report'!A71,'SERVICE ENTRY'!$F$4:$F$1200,"Cuban")+COUNTIFS('SERVICE ENTRY'!$C$4:$C$1200,'County Report'!A71,'SERVICE ENTRY'!$F$4:$F$1200,"Dominican")+COUNTIFS('SERVICE ENTRY'!$C$4:$C$1200,'County Report'!A71,'SERVICE ENTRY'!$F$4:$F$1200,"Mexican/Mexican-American/Chicano")+COUNTIFS('SERVICE ENTRY'!$C$4:$C$1200,'County Report'!A71,'SERVICE ENTRY'!$F$4:$F$1200,"Puerto Rican")+COUNTIFS('SERVICE ENTRY'!$C$4:$C$1200,'County Report'!A71,'SERVICE ENTRY'!$F$4:$F$1200,"Salvadoran")+COUNTIFS('SERVICE ENTRY'!$C$4:$C$1200,'County Report'!A71,'SERVICE ENTRY'!$F$4:$F$1200,"Other Hispanic/Latino/Spanish origin")</f>
        <v>0</v>
      </c>
      <c r="K71" s="91">
        <f>COUNTIFS('SERVICE ENTRY'!$C$4:$C$1200,'County Report'!A71,'SERVICE ENTRY'!$F$4:$F$1200,"Not of Hispanic/Latino/Spanish origin")</f>
        <v>0</v>
      </c>
      <c r="L71" s="247">
        <f>COUNTIFS('SERVICE ENTRY'!$C$4:$C$1200,'County Report'!A71,'SERVICE ENTRY'!$F$4:$F$1200,"Unknown or Other")</f>
        <v>0</v>
      </c>
    </row>
    <row r="72" spans="1:12" x14ac:dyDescent="0.25">
      <c r="A72" s="167" t="s">
        <v>624</v>
      </c>
      <c r="B72" s="126">
        <f>COUNTIF('SERVICE ENTRY'!$C$4:$C$1200,'County Report'!A72)</f>
        <v>0</v>
      </c>
      <c r="C72" s="124">
        <f>COUNTIFS('SERVICE ENTRY'!$C$4:$C$1200,'County Report'!A72,'SERVICE ENTRY'!$G$4:$G$1200,"American Indian or Alaska Native")</f>
        <v>0</v>
      </c>
      <c r="D72" s="91">
        <f>COUNTIFS('SERVICE ENTRY'!$C$4:$C$1200,'County Report'!A72,'SERVICE ENTRY'!$G$4:$G$1200,"Asian")</f>
        <v>0</v>
      </c>
      <c r="E72" s="91">
        <f>COUNTIFS('SERVICE ENTRY'!$C$4:$C$1200,'County Report'!A72,'SERVICE ENTRY'!$G$4:$G$1200,"Black/African-American")</f>
        <v>0</v>
      </c>
      <c r="F72" s="91">
        <f>COUNTIFS('SERVICE ENTRY'!$C$4:$C$1200,'County Report'!A72,'SERVICE ENTRY'!$G$4:$G$1200,"Middle Eastern or North African")</f>
        <v>0</v>
      </c>
      <c r="G72" s="105">
        <f>COUNTIFS('SERVICE ENTRY'!$C$4:$C$1200,'County Report'!A72,'SERVICE ENTRY'!$G$4:$G$1200,"Native Hawaiian or Pacific Islander")</f>
        <v>0</v>
      </c>
      <c r="H72" s="91">
        <f>COUNTIFS('SERVICE ENTRY'!$C$4:$C$1200,'County Report'!A72,'SERVICE ENTRY'!$G$4:$G$1200,"White")</f>
        <v>0</v>
      </c>
      <c r="I72" s="105">
        <f>COUNTIFS('SERVICE ENTRY'!$C$4:$C$1200,'County Report'!A72,'SERVICE ENTRY'!$G$4:$G$1200,"Unknown or Other")</f>
        <v>0</v>
      </c>
      <c r="J72" s="214">
        <f>COUNTIFS('SERVICE ENTRY'!$C$4:$C$1200,'County Report'!A72,'SERVICE ENTRY'!$F$4:$F$1200,"Colombian")+COUNTIFS('SERVICE ENTRY'!$C$4:$C$1200,'County Report'!A72,'SERVICE ENTRY'!$F$4:$F$1200,"Cuban")+COUNTIFS('SERVICE ENTRY'!$C$4:$C$1200,'County Report'!A72,'SERVICE ENTRY'!$F$4:$F$1200,"Dominican")+COUNTIFS('SERVICE ENTRY'!$C$4:$C$1200,'County Report'!A72,'SERVICE ENTRY'!$F$4:$F$1200,"Mexican/Mexican-American/Chicano")+COUNTIFS('SERVICE ENTRY'!$C$4:$C$1200,'County Report'!A72,'SERVICE ENTRY'!$F$4:$F$1200,"Puerto Rican")+COUNTIFS('SERVICE ENTRY'!$C$4:$C$1200,'County Report'!A72,'SERVICE ENTRY'!$F$4:$F$1200,"Salvadoran")+COUNTIFS('SERVICE ENTRY'!$C$4:$C$1200,'County Report'!A72,'SERVICE ENTRY'!$F$4:$F$1200,"Other Hispanic/Latino/Spanish origin")</f>
        <v>0</v>
      </c>
      <c r="K72" s="91">
        <f>COUNTIFS('SERVICE ENTRY'!$C$4:$C$1200,'County Report'!A72,'SERVICE ENTRY'!$F$4:$F$1200,"Not of Hispanic/Latino/Spanish origin")</f>
        <v>0</v>
      </c>
      <c r="L72" s="247">
        <f>COUNTIFS('SERVICE ENTRY'!$C$4:$C$1200,'County Report'!A72,'SERVICE ENTRY'!$F$4:$F$1200,"Unknown or Other")</f>
        <v>0</v>
      </c>
    </row>
    <row r="73" spans="1:12" x14ac:dyDescent="0.25">
      <c r="A73" s="167" t="s">
        <v>625</v>
      </c>
      <c r="B73" s="126">
        <f>COUNTIF('SERVICE ENTRY'!$C$4:$C$1200,'County Report'!A73)</f>
        <v>0</v>
      </c>
      <c r="C73" s="124">
        <f>COUNTIFS('SERVICE ENTRY'!$C$4:$C$1200,'County Report'!A73,'SERVICE ENTRY'!$G$4:$G$1200,"American Indian or Alaska Native")</f>
        <v>0</v>
      </c>
      <c r="D73" s="91">
        <f>COUNTIFS('SERVICE ENTRY'!$C$4:$C$1200,'County Report'!A73,'SERVICE ENTRY'!$G$4:$G$1200,"Asian")</f>
        <v>0</v>
      </c>
      <c r="E73" s="91">
        <f>COUNTIFS('SERVICE ENTRY'!$C$4:$C$1200,'County Report'!A73,'SERVICE ENTRY'!$G$4:$G$1200,"Black/African-American")</f>
        <v>0</v>
      </c>
      <c r="F73" s="91">
        <f>COUNTIFS('SERVICE ENTRY'!$C$4:$C$1200,'County Report'!A73,'SERVICE ENTRY'!$G$4:$G$1200,"Middle Eastern or North African")</f>
        <v>0</v>
      </c>
      <c r="G73" s="105">
        <f>COUNTIFS('SERVICE ENTRY'!$C$4:$C$1200,'County Report'!A73,'SERVICE ENTRY'!$G$4:$G$1200,"Native Hawaiian or Pacific Islander")</f>
        <v>0</v>
      </c>
      <c r="H73" s="91">
        <f>COUNTIFS('SERVICE ENTRY'!$C$4:$C$1200,'County Report'!A73,'SERVICE ENTRY'!$G$4:$G$1200,"White")</f>
        <v>0</v>
      </c>
      <c r="I73" s="105">
        <f>COUNTIFS('SERVICE ENTRY'!$C$4:$C$1200,'County Report'!A73,'SERVICE ENTRY'!$G$4:$G$1200,"Unknown or Other")</f>
        <v>0</v>
      </c>
      <c r="J73" s="214">
        <f>COUNTIFS('SERVICE ENTRY'!$C$4:$C$1200,'County Report'!A73,'SERVICE ENTRY'!$F$4:$F$1200,"Colombian")+COUNTIFS('SERVICE ENTRY'!$C$4:$C$1200,'County Report'!A73,'SERVICE ENTRY'!$F$4:$F$1200,"Cuban")+COUNTIFS('SERVICE ENTRY'!$C$4:$C$1200,'County Report'!A73,'SERVICE ENTRY'!$F$4:$F$1200,"Dominican")+COUNTIFS('SERVICE ENTRY'!$C$4:$C$1200,'County Report'!A73,'SERVICE ENTRY'!$F$4:$F$1200,"Mexican/Mexican-American/Chicano")+COUNTIFS('SERVICE ENTRY'!$C$4:$C$1200,'County Report'!A73,'SERVICE ENTRY'!$F$4:$F$1200,"Puerto Rican")+COUNTIFS('SERVICE ENTRY'!$C$4:$C$1200,'County Report'!A73,'SERVICE ENTRY'!$F$4:$F$1200,"Salvadoran")+COUNTIFS('SERVICE ENTRY'!$C$4:$C$1200,'County Report'!A73,'SERVICE ENTRY'!$F$4:$F$1200,"Other Hispanic/Latino/Spanish origin")</f>
        <v>0</v>
      </c>
      <c r="K73" s="91">
        <f>COUNTIFS('SERVICE ENTRY'!$C$4:$C$1200,'County Report'!A73,'SERVICE ENTRY'!$F$4:$F$1200,"Not of Hispanic/Latino/Spanish origin")</f>
        <v>0</v>
      </c>
      <c r="L73" s="247">
        <f>COUNTIFS('SERVICE ENTRY'!$C$4:$C$1200,'County Report'!A73,'SERVICE ENTRY'!$F$4:$F$1200,"Unknown or Other")</f>
        <v>0</v>
      </c>
    </row>
    <row r="74" spans="1:12" x14ac:dyDescent="0.25">
      <c r="A74" s="167" t="s">
        <v>626</v>
      </c>
      <c r="B74" s="126">
        <f>COUNTIF('SERVICE ENTRY'!$C$4:$C$1200,'County Report'!A74)</f>
        <v>0</v>
      </c>
      <c r="C74" s="124">
        <f>COUNTIFS('SERVICE ENTRY'!$C$4:$C$1200,'County Report'!A74,'SERVICE ENTRY'!$G$4:$G$1200,"American Indian or Alaska Native")</f>
        <v>0</v>
      </c>
      <c r="D74" s="91">
        <f>COUNTIFS('SERVICE ENTRY'!$C$4:$C$1200,'County Report'!A74,'SERVICE ENTRY'!$G$4:$G$1200,"Asian")</f>
        <v>0</v>
      </c>
      <c r="E74" s="91">
        <f>COUNTIFS('SERVICE ENTRY'!$C$4:$C$1200,'County Report'!A74,'SERVICE ENTRY'!$G$4:$G$1200,"Black/African-American")</f>
        <v>0</v>
      </c>
      <c r="F74" s="91">
        <f>COUNTIFS('SERVICE ENTRY'!$C$4:$C$1200,'County Report'!A74,'SERVICE ENTRY'!$G$4:$G$1200,"Middle Eastern or North African")</f>
        <v>0</v>
      </c>
      <c r="G74" s="105">
        <f>COUNTIFS('SERVICE ENTRY'!$C$4:$C$1200,'County Report'!A74,'SERVICE ENTRY'!$G$4:$G$1200,"Native Hawaiian or Pacific Islander")</f>
        <v>0</v>
      </c>
      <c r="H74" s="91">
        <f>COUNTIFS('SERVICE ENTRY'!$C$4:$C$1200,'County Report'!A74,'SERVICE ENTRY'!$G$4:$G$1200,"White")</f>
        <v>0</v>
      </c>
      <c r="I74" s="105">
        <f>COUNTIFS('SERVICE ENTRY'!$C$4:$C$1200,'County Report'!A74,'SERVICE ENTRY'!$G$4:$G$1200,"Unknown or Other")</f>
        <v>0</v>
      </c>
      <c r="J74" s="214">
        <f>COUNTIFS('SERVICE ENTRY'!$C$4:$C$1200,'County Report'!A74,'SERVICE ENTRY'!$F$4:$F$1200,"Colombian")+COUNTIFS('SERVICE ENTRY'!$C$4:$C$1200,'County Report'!A74,'SERVICE ENTRY'!$F$4:$F$1200,"Cuban")+COUNTIFS('SERVICE ENTRY'!$C$4:$C$1200,'County Report'!A74,'SERVICE ENTRY'!$F$4:$F$1200,"Dominican")+COUNTIFS('SERVICE ENTRY'!$C$4:$C$1200,'County Report'!A74,'SERVICE ENTRY'!$F$4:$F$1200,"Mexican/Mexican-American/Chicano")+COUNTIFS('SERVICE ENTRY'!$C$4:$C$1200,'County Report'!A74,'SERVICE ENTRY'!$F$4:$F$1200,"Puerto Rican")+COUNTIFS('SERVICE ENTRY'!$C$4:$C$1200,'County Report'!A74,'SERVICE ENTRY'!$F$4:$F$1200,"Salvadoran")+COUNTIFS('SERVICE ENTRY'!$C$4:$C$1200,'County Report'!A74,'SERVICE ENTRY'!$F$4:$F$1200,"Other Hispanic/Latino/Spanish origin")</f>
        <v>0</v>
      </c>
      <c r="K74" s="91">
        <f>COUNTIFS('SERVICE ENTRY'!$C$4:$C$1200,'County Report'!A74,'SERVICE ENTRY'!$F$4:$F$1200,"Not of Hispanic/Latino/Spanish origin")</f>
        <v>0</v>
      </c>
      <c r="L74" s="247">
        <f>COUNTIFS('SERVICE ENTRY'!$C$4:$C$1200,'County Report'!A74,'SERVICE ENTRY'!$F$4:$F$1200,"Unknown or Other")</f>
        <v>0</v>
      </c>
    </row>
    <row r="75" spans="1:12" x14ac:dyDescent="0.25">
      <c r="A75" s="167" t="s">
        <v>627</v>
      </c>
      <c r="B75" s="126">
        <f>COUNTIF('SERVICE ENTRY'!$C$4:$C$1200,'County Report'!A75)</f>
        <v>0</v>
      </c>
      <c r="C75" s="124">
        <f>COUNTIFS('SERVICE ENTRY'!$C$4:$C$1200,'County Report'!A75,'SERVICE ENTRY'!$G$4:$G$1200,"American Indian or Alaska Native")</f>
        <v>0</v>
      </c>
      <c r="D75" s="91">
        <f>COUNTIFS('SERVICE ENTRY'!$C$4:$C$1200,'County Report'!A75,'SERVICE ENTRY'!$G$4:$G$1200,"Asian")</f>
        <v>0</v>
      </c>
      <c r="E75" s="91">
        <f>COUNTIFS('SERVICE ENTRY'!$C$4:$C$1200,'County Report'!A75,'SERVICE ENTRY'!$G$4:$G$1200,"Black/African-American")</f>
        <v>0</v>
      </c>
      <c r="F75" s="91">
        <f>COUNTIFS('SERVICE ENTRY'!$C$4:$C$1200,'County Report'!A75,'SERVICE ENTRY'!$G$4:$G$1200,"Middle Eastern or North African")</f>
        <v>0</v>
      </c>
      <c r="G75" s="105">
        <f>COUNTIFS('SERVICE ENTRY'!$C$4:$C$1200,'County Report'!A75,'SERVICE ENTRY'!$G$4:$G$1200,"Native Hawaiian or Pacific Islander")</f>
        <v>0</v>
      </c>
      <c r="H75" s="91">
        <f>COUNTIFS('SERVICE ENTRY'!$C$4:$C$1200,'County Report'!A75,'SERVICE ENTRY'!$G$4:$G$1200,"White")</f>
        <v>0</v>
      </c>
      <c r="I75" s="105">
        <f>COUNTIFS('SERVICE ENTRY'!$C$4:$C$1200,'County Report'!A75,'SERVICE ENTRY'!$G$4:$G$1200,"Unknown or Other")</f>
        <v>0</v>
      </c>
      <c r="J75" s="214">
        <f>COUNTIFS('SERVICE ENTRY'!$C$4:$C$1200,'County Report'!A75,'SERVICE ENTRY'!$F$4:$F$1200,"Colombian")+COUNTIFS('SERVICE ENTRY'!$C$4:$C$1200,'County Report'!A75,'SERVICE ENTRY'!$F$4:$F$1200,"Cuban")+COUNTIFS('SERVICE ENTRY'!$C$4:$C$1200,'County Report'!A75,'SERVICE ENTRY'!$F$4:$F$1200,"Dominican")+COUNTIFS('SERVICE ENTRY'!$C$4:$C$1200,'County Report'!A75,'SERVICE ENTRY'!$F$4:$F$1200,"Mexican/Mexican-American/Chicano")+COUNTIFS('SERVICE ENTRY'!$C$4:$C$1200,'County Report'!A75,'SERVICE ENTRY'!$F$4:$F$1200,"Puerto Rican")+COUNTIFS('SERVICE ENTRY'!$C$4:$C$1200,'County Report'!A75,'SERVICE ENTRY'!$F$4:$F$1200,"Salvadoran")+COUNTIFS('SERVICE ENTRY'!$C$4:$C$1200,'County Report'!A75,'SERVICE ENTRY'!$F$4:$F$1200,"Other Hispanic/Latino/Spanish origin")</f>
        <v>0</v>
      </c>
      <c r="K75" s="91">
        <f>COUNTIFS('SERVICE ENTRY'!$C$4:$C$1200,'County Report'!A75,'SERVICE ENTRY'!$F$4:$F$1200,"Not of Hispanic/Latino/Spanish origin")</f>
        <v>0</v>
      </c>
      <c r="L75" s="247">
        <f>COUNTIFS('SERVICE ENTRY'!$C$4:$C$1200,'County Report'!A75,'SERVICE ENTRY'!$F$4:$F$1200,"Unknown or Other")</f>
        <v>0</v>
      </c>
    </row>
    <row r="76" spans="1:12" x14ac:dyDescent="0.25">
      <c r="A76" s="167" t="s">
        <v>628</v>
      </c>
      <c r="B76" s="126">
        <f>COUNTIF('SERVICE ENTRY'!$C$4:$C$1200,'County Report'!A76)</f>
        <v>0</v>
      </c>
      <c r="C76" s="124">
        <f>COUNTIFS('SERVICE ENTRY'!$C$4:$C$1200,'County Report'!A76,'SERVICE ENTRY'!$G$4:$G$1200,"American Indian or Alaska Native")</f>
        <v>0</v>
      </c>
      <c r="D76" s="91">
        <f>COUNTIFS('SERVICE ENTRY'!$C$4:$C$1200,'County Report'!A76,'SERVICE ENTRY'!$G$4:$G$1200,"Asian")</f>
        <v>0</v>
      </c>
      <c r="E76" s="91">
        <f>COUNTIFS('SERVICE ENTRY'!$C$4:$C$1200,'County Report'!A76,'SERVICE ENTRY'!$G$4:$G$1200,"Black/African-American")</f>
        <v>0</v>
      </c>
      <c r="F76" s="91">
        <f>COUNTIFS('SERVICE ENTRY'!$C$4:$C$1200,'County Report'!A76,'SERVICE ENTRY'!$G$4:$G$1200,"Middle Eastern or North African")</f>
        <v>0</v>
      </c>
      <c r="G76" s="105">
        <f>COUNTIFS('SERVICE ENTRY'!$C$4:$C$1200,'County Report'!A76,'SERVICE ENTRY'!$G$4:$G$1200,"Native Hawaiian or Pacific Islander")</f>
        <v>0</v>
      </c>
      <c r="H76" s="91">
        <f>COUNTIFS('SERVICE ENTRY'!$C$4:$C$1200,'County Report'!A76,'SERVICE ENTRY'!$G$4:$G$1200,"White")</f>
        <v>0</v>
      </c>
      <c r="I76" s="105">
        <f>COUNTIFS('SERVICE ENTRY'!$C$4:$C$1200,'County Report'!A76,'SERVICE ENTRY'!$G$4:$G$1200,"Unknown or Other")</f>
        <v>0</v>
      </c>
      <c r="J76" s="214">
        <f>COUNTIFS('SERVICE ENTRY'!$C$4:$C$1200,'County Report'!A76,'SERVICE ENTRY'!$F$4:$F$1200,"Colombian")+COUNTIFS('SERVICE ENTRY'!$C$4:$C$1200,'County Report'!A76,'SERVICE ENTRY'!$F$4:$F$1200,"Cuban")+COUNTIFS('SERVICE ENTRY'!$C$4:$C$1200,'County Report'!A76,'SERVICE ENTRY'!$F$4:$F$1200,"Dominican")+COUNTIFS('SERVICE ENTRY'!$C$4:$C$1200,'County Report'!A76,'SERVICE ENTRY'!$F$4:$F$1200,"Mexican/Mexican-American/Chicano")+COUNTIFS('SERVICE ENTRY'!$C$4:$C$1200,'County Report'!A76,'SERVICE ENTRY'!$F$4:$F$1200,"Puerto Rican")+COUNTIFS('SERVICE ENTRY'!$C$4:$C$1200,'County Report'!A76,'SERVICE ENTRY'!$F$4:$F$1200,"Salvadoran")+COUNTIFS('SERVICE ENTRY'!$C$4:$C$1200,'County Report'!A76,'SERVICE ENTRY'!$F$4:$F$1200,"Other Hispanic/Latino/Spanish origin")</f>
        <v>0</v>
      </c>
      <c r="K76" s="91">
        <f>COUNTIFS('SERVICE ENTRY'!$C$4:$C$1200,'County Report'!A76,'SERVICE ENTRY'!$F$4:$F$1200,"Not of Hispanic/Latino/Spanish origin")</f>
        <v>0</v>
      </c>
      <c r="L76" s="247">
        <f>COUNTIFS('SERVICE ENTRY'!$C$4:$C$1200,'County Report'!A76,'SERVICE ENTRY'!$F$4:$F$1200,"Unknown or Other")</f>
        <v>0</v>
      </c>
    </row>
    <row r="77" spans="1:12" x14ac:dyDescent="0.25">
      <c r="A77" s="167" t="s">
        <v>629</v>
      </c>
      <c r="B77" s="126">
        <f>COUNTIF('SERVICE ENTRY'!$C$4:$C$1200,'County Report'!A77)</f>
        <v>0</v>
      </c>
      <c r="C77" s="124">
        <f>COUNTIFS('SERVICE ENTRY'!$C$4:$C$1200,'County Report'!A77,'SERVICE ENTRY'!$G$4:$G$1200,"American Indian or Alaska Native")</f>
        <v>0</v>
      </c>
      <c r="D77" s="91">
        <f>COUNTIFS('SERVICE ENTRY'!$C$4:$C$1200,'County Report'!A77,'SERVICE ENTRY'!$G$4:$G$1200,"Asian")</f>
        <v>0</v>
      </c>
      <c r="E77" s="91">
        <f>COUNTIFS('SERVICE ENTRY'!$C$4:$C$1200,'County Report'!A77,'SERVICE ENTRY'!$G$4:$G$1200,"Black/African-American")</f>
        <v>0</v>
      </c>
      <c r="F77" s="91">
        <f>COUNTIFS('SERVICE ENTRY'!$C$4:$C$1200,'County Report'!A77,'SERVICE ENTRY'!$G$4:$G$1200,"Middle Eastern or North African")</f>
        <v>0</v>
      </c>
      <c r="G77" s="105">
        <f>COUNTIFS('SERVICE ENTRY'!$C$4:$C$1200,'County Report'!A77,'SERVICE ENTRY'!$G$4:$G$1200,"Native Hawaiian or Pacific Islander")</f>
        <v>0</v>
      </c>
      <c r="H77" s="91">
        <f>COUNTIFS('SERVICE ENTRY'!$C$4:$C$1200,'County Report'!A77,'SERVICE ENTRY'!$G$4:$G$1200,"White")</f>
        <v>0</v>
      </c>
      <c r="I77" s="105">
        <f>COUNTIFS('SERVICE ENTRY'!$C$4:$C$1200,'County Report'!A77,'SERVICE ENTRY'!$G$4:$G$1200,"Unknown or Other")</f>
        <v>0</v>
      </c>
      <c r="J77" s="214">
        <f>COUNTIFS('SERVICE ENTRY'!$C$4:$C$1200,'County Report'!A77,'SERVICE ENTRY'!$F$4:$F$1200,"Colombian")+COUNTIFS('SERVICE ENTRY'!$C$4:$C$1200,'County Report'!A77,'SERVICE ENTRY'!$F$4:$F$1200,"Cuban")+COUNTIFS('SERVICE ENTRY'!$C$4:$C$1200,'County Report'!A77,'SERVICE ENTRY'!$F$4:$F$1200,"Dominican")+COUNTIFS('SERVICE ENTRY'!$C$4:$C$1200,'County Report'!A77,'SERVICE ENTRY'!$F$4:$F$1200,"Mexican/Mexican-American/Chicano")+COUNTIFS('SERVICE ENTRY'!$C$4:$C$1200,'County Report'!A77,'SERVICE ENTRY'!$F$4:$F$1200,"Puerto Rican")+COUNTIFS('SERVICE ENTRY'!$C$4:$C$1200,'County Report'!A77,'SERVICE ENTRY'!$F$4:$F$1200,"Salvadoran")+COUNTIFS('SERVICE ENTRY'!$C$4:$C$1200,'County Report'!A77,'SERVICE ENTRY'!$F$4:$F$1200,"Other Hispanic/Latino/Spanish origin")</f>
        <v>0</v>
      </c>
      <c r="K77" s="91">
        <f>COUNTIFS('SERVICE ENTRY'!$C$4:$C$1200,'County Report'!A77,'SERVICE ENTRY'!$F$4:$F$1200,"Not of Hispanic/Latino/Spanish origin")</f>
        <v>0</v>
      </c>
      <c r="L77" s="247">
        <f>COUNTIFS('SERVICE ENTRY'!$C$4:$C$1200,'County Report'!A77,'SERVICE ENTRY'!$F$4:$F$1200,"Unknown or Other")</f>
        <v>0</v>
      </c>
    </row>
    <row r="78" spans="1:12" x14ac:dyDescent="0.25">
      <c r="A78" s="167" t="s">
        <v>630</v>
      </c>
      <c r="B78" s="126">
        <f>COUNTIF('SERVICE ENTRY'!$C$4:$C$1200,'County Report'!A78)</f>
        <v>0</v>
      </c>
      <c r="C78" s="124">
        <f>COUNTIFS('SERVICE ENTRY'!$C$4:$C$1200,'County Report'!A78,'SERVICE ENTRY'!$G$4:$G$1200,"American Indian or Alaska Native")</f>
        <v>0</v>
      </c>
      <c r="D78" s="91">
        <f>COUNTIFS('SERVICE ENTRY'!$C$4:$C$1200,'County Report'!A78,'SERVICE ENTRY'!$G$4:$G$1200,"Asian")</f>
        <v>0</v>
      </c>
      <c r="E78" s="91">
        <f>COUNTIFS('SERVICE ENTRY'!$C$4:$C$1200,'County Report'!A78,'SERVICE ENTRY'!$G$4:$G$1200,"Black/African-American")</f>
        <v>0</v>
      </c>
      <c r="F78" s="91">
        <f>COUNTIFS('SERVICE ENTRY'!$C$4:$C$1200,'County Report'!A78,'SERVICE ENTRY'!$G$4:$G$1200,"Middle Eastern or North African")</f>
        <v>0</v>
      </c>
      <c r="G78" s="105">
        <f>COUNTIFS('SERVICE ENTRY'!$C$4:$C$1200,'County Report'!A78,'SERVICE ENTRY'!$G$4:$G$1200,"Native Hawaiian or Pacific Islander")</f>
        <v>0</v>
      </c>
      <c r="H78" s="91">
        <f>COUNTIFS('SERVICE ENTRY'!$C$4:$C$1200,'County Report'!A78,'SERVICE ENTRY'!$G$4:$G$1200,"White")</f>
        <v>0</v>
      </c>
      <c r="I78" s="105">
        <f>COUNTIFS('SERVICE ENTRY'!$C$4:$C$1200,'County Report'!A78,'SERVICE ENTRY'!$G$4:$G$1200,"Unknown or Other")</f>
        <v>0</v>
      </c>
      <c r="J78" s="214">
        <f>COUNTIFS('SERVICE ENTRY'!$C$4:$C$1200,'County Report'!A78,'SERVICE ENTRY'!$F$4:$F$1200,"Colombian")+COUNTIFS('SERVICE ENTRY'!$C$4:$C$1200,'County Report'!A78,'SERVICE ENTRY'!$F$4:$F$1200,"Cuban")+COUNTIFS('SERVICE ENTRY'!$C$4:$C$1200,'County Report'!A78,'SERVICE ENTRY'!$F$4:$F$1200,"Dominican")+COUNTIFS('SERVICE ENTRY'!$C$4:$C$1200,'County Report'!A78,'SERVICE ENTRY'!$F$4:$F$1200,"Mexican/Mexican-American/Chicano")+COUNTIFS('SERVICE ENTRY'!$C$4:$C$1200,'County Report'!A78,'SERVICE ENTRY'!$F$4:$F$1200,"Puerto Rican")+COUNTIFS('SERVICE ENTRY'!$C$4:$C$1200,'County Report'!A78,'SERVICE ENTRY'!$F$4:$F$1200,"Salvadoran")+COUNTIFS('SERVICE ENTRY'!$C$4:$C$1200,'County Report'!A78,'SERVICE ENTRY'!$F$4:$F$1200,"Other Hispanic/Latino/Spanish origin")</f>
        <v>0</v>
      </c>
      <c r="K78" s="91">
        <f>COUNTIFS('SERVICE ENTRY'!$C$4:$C$1200,'County Report'!A78,'SERVICE ENTRY'!$F$4:$F$1200,"Not of Hispanic/Latino/Spanish origin")</f>
        <v>0</v>
      </c>
      <c r="L78" s="247">
        <f>COUNTIFS('SERVICE ENTRY'!$C$4:$C$1200,'County Report'!A78,'SERVICE ENTRY'!$F$4:$F$1200,"Unknown or Other")</f>
        <v>0</v>
      </c>
    </row>
    <row r="79" spans="1:12" x14ac:dyDescent="0.25">
      <c r="A79" s="167" t="s">
        <v>631</v>
      </c>
      <c r="B79" s="126">
        <f>COUNTIF('SERVICE ENTRY'!$C$4:$C$1200,'County Report'!A79)</f>
        <v>0</v>
      </c>
      <c r="C79" s="124">
        <f>COUNTIFS('SERVICE ENTRY'!$C$4:$C$1200,'County Report'!A79,'SERVICE ENTRY'!$G$4:$G$1200,"American Indian or Alaska Native")</f>
        <v>0</v>
      </c>
      <c r="D79" s="91">
        <f>COUNTIFS('SERVICE ENTRY'!$C$4:$C$1200,'County Report'!A79,'SERVICE ENTRY'!$G$4:$G$1200,"Asian")</f>
        <v>0</v>
      </c>
      <c r="E79" s="91">
        <f>COUNTIFS('SERVICE ENTRY'!$C$4:$C$1200,'County Report'!A79,'SERVICE ENTRY'!$G$4:$G$1200,"Black/African-American")</f>
        <v>0</v>
      </c>
      <c r="F79" s="91">
        <f>COUNTIFS('SERVICE ENTRY'!$C$4:$C$1200,'County Report'!A79,'SERVICE ENTRY'!$G$4:$G$1200,"Middle Eastern or North African")</f>
        <v>0</v>
      </c>
      <c r="G79" s="105">
        <f>COUNTIFS('SERVICE ENTRY'!$C$4:$C$1200,'County Report'!A79,'SERVICE ENTRY'!$G$4:$G$1200,"Native Hawaiian or Pacific Islander")</f>
        <v>0</v>
      </c>
      <c r="H79" s="91">
        <f>COUNTIFS('SERVICE ENTRY'!$C$4:$C$1200,'County Report'!A79,'SERVICE ENTRY'!$G$4:$G$1200,"White")</f>
        <v>0</v>
      </c>
      <c r="I79" s="105">
        <f>COUNTIFS('SERVICE ENTRY'!$C$4:$C$1200,'County Report'!A79,'SERVICE ENTRY'!$G$4:$G$1200,"Unknown or Other")</f>
        <v>0</v>
      </c>
      <c r="J79" s="214">
        <f>COUNTIFS('SERVICE ENTRY'!$C$4:$C$1200,'County Report'!A79,'SERVICE ENTRY'!$F$4:$F$1200,"Colombian")+COUNTIFS('SERVICE ENTRY'!$C$4:$C$1200,'County Report'!A79,'SERVICE ENTRY'!$F$4:$F$1200,"Cuban")+COUNTIFS('SERVICE ENTRY'!$C$4:$C$1200,'County Report'!A79,'SERVICE ENTRY'!$F$4:$F$1200,"Dominican")+COUNTIFS('SERVICE ENTRY'!$C$4:$C$1200,'County Report'!A79,'SERVICE ENTRY'!$F$4:$F$1200,"Mexican/Mexican-American/Chicano")+COUNTIFS('SERVICE ENTRY'!$C$4:$C$1200,'County Report'!A79,'SERVICE ENTRY'!$F$4:$F$1200,"Puerto Rican")+COUNTIFS('SERVICE ENTRY'!$C$4:$C$1200,'County Report'!A79,'SERVICE ENTRY'!$F$4:$F$1200,"Salvadoran")+COUNTIFS('SERVICE ENTRY'!$C$4:$C$1200,'County Report'!A79,'SERVICE ENTRY'!$F$4:$F$1200,"Other Hispanic/Latino/Spanish origin")</f>
        <v>0</v>
      </c>
      <c r="K79" s="91">
        <f>COUNTIFS('SERVICE ENTRY'!$C$4:$C$1200,'County Report'!A79,'SERVICE ENTRY'!$F$4:$F$1200,"Not of Hispanic/Latino/Spanish origin")</f>
        <v>0</v>
      </c>
      <c r="L79" s="247">
        <f>COUNTIFS('SERVICE ENTRY'!$C$4:$C$1200,'County Report'!A79,'SERVICE ENTRY'!$F$4:$F$1200,"Unknown or Other")</f>
        <v>0</v>
      </c>
    </row>
    <row r="80" spans="1:12" x14ac:dyDescent="0.25">
      <c r="A80" s="167" t="s">
        <v>632</v>
      </c>
      <c r="B80" s="126">
        <f>COUNTIF('SERVICE ENTRY'!$C$4:$C$1200,'County Report'!A80)</f>
        <v>0</v>
      </c>
      <c r="C80" s="124">
        <f>COUNTIFS('SERVICE ENTRY'!$C$4:$C$1200,'County Report'!A80,'SERVICE ENTRY'!$G$4:$G$1200,"American Indian or Alaska Native")</f>
        <v>0</v>
      </c>
      <c r="D80" s="91">
        <f>COUNTIFS('SERVICE ENTRY'!$C$4:$C$1200,'County Report'!A80,'SERVICE ENTRY'!$G$4:$G$1200,"Asian")</f>
        <v>0</v>
      </c>
      <c r="E80" s="91">
        <f>COUNTIFS('SERVICE ENTRY'!$C$4:$C$1200,'County Report'!A80,'SERVICE ENTRY'!$G$4:$G$1200,"Black/African-American")</f>
        <v>0</v>
      </c>
      <c r="F80" s="91">
        <f>COUNTIFS('SERVICE ENTRY'!$C$4:$C$1200,'County Report'!A80,'SERVICE ENTRY'!$G$4:$G$1200,"Middle Eastern or North African")</f>
        <v>0</v>
      </c>
      <c r="G80" s="105">
        <f>COUNTIFS('SERVICE ENTRY'!$C$4:$C$1200,'County Report'!A80,'SERVICE ENTRY'!$G$4:$G$1200,"Native Hawaiian or Pacific Islander")</f>
        <v>0</v>
      </c>
      <c r="H80" s="91">
        <f>COUNTIFS('SERVICE ENTRY'!$C$4:$C$1200,'County Report'!A80,'SERVICE ENTRY'!$G$4:$G$1200,"White")</f>
        <v>0</v>
      </c>
      <c r="I80" s="105">
        <f>COUNTIFS('SERVICE ENTRY'!$C$4:$C$1200,'County Report'!A80,'SERVICE ENTRY'!$G$4:$G$1200,"Unknown or Other")</f>
        <v>0</v>
      </c>
      <c r="J80" s="214">
        <f>COUNTIFS('SERVICE ENTRY'!$C$4:$C$1200,'County Report'!A80,'SERVICE ENTRY'!$F$4:$F$1200,"Colombian")+COUNTIFS('SERVICE ENTRY'!$C$4:$C$1200,'County Report'!A80,'SERVICE ENTRY'!$F$4:$F$1200,"Cuban")+COUNTIFS('SERVICE ENTRY'!$C$4:$C$1200,'County Report'!A80,'SERVICE ENTRY'!$F$4:$F$1200,"Dominican")+COUNTIFS('SERVICE ENTRY'!$C$4:$C$1200,'County Report'!A80,'SERVICE ENTRY'!$F$4:$F$1200,"Mexican/Mexican-American/Chicano")+COUNTIFS('SERVICE ENTRY'!$C$4:$C$1200,'County Report'!A80,'SERVICE ENTRY'!$F$4:$F$1200,"Puerto Rican")+COUNTIFS('SERVICE ENTRY'!$C$4:$C$1200,'County Report'!A80,'SERVICE ENTRY'!$F$4:$F$1200,"Salvadoran")+COUNTIFS('SERVICE ENTRY'!$C$4:$C$1200,'County Report'!A80,'SERVICE ENTRY'!$F$4:$F$1200,"Other Hispanic/Latino/Spanish origin")</f>
        <v>0</v>
      </c>
      <c r="K80" s="91">
        <f>COUNTIFS('SERVICE ENTRY'!$C$4:$C$1200,'County Report'!A80,'SERVICE ENTRY'!$F$4:$F$1200,"Not of Hispanic/Latino/Spanish origin")</f>
        <v>0</v>
      </c>
      <c r="L80" s="247">
        <f>COUNTIFS('SERVICE ENTRY'!$C$4:$C$1200,'County Report'!A80,'SERVICE ENTRY'!$F$4:$F$1200,"Unknown or Other")</f>
        <v>0</v>
      </c>
    </row>
    <row r="81" spans="1:12" x14ac:dyDescent="0.25">
      <c r="A81" s="167" t="s">
        <v>633</v>
      </c>
      <c r="B81" s="126">
        <f>COUNTIF('SERVICE ENTRY'!$C$4:$C$1200,'County Report'!A81)</f>
        <v>0</v>
      </c>
      <c r="C81" s="124">
        <f>COUNTIFS('SERVICE ENTRY'!$C$4:$C$1200,'County Report'!A81,'SERVICE ENTRY'!$G$4:$G$1200,"American Indian or Alaska Native")</f>
        <v>0</v>
      </c>
      <c r="D81" s="91">
        <f>COUNTIFS('SERVICE ENTRY'!$C$4:$C$1200,'County Report'!A81,'SERVICE ENTRY'!$G$4:$G$1200,"Asian")</f>
        <v>0</v>
      </c>
      <c r="E81" s="91">
        <f>COUNTIFS('SERVICE ENTRY'!$C$4:$C$1200,'County Report'!A81,'SERVICE ENTRY'!$G$4:$G$1200,"Black/African-American")</f>
        <v>0</v>
      </c>
      <c r="F81" s="91">
        <f>COUNTIFS('SERVICE ENTRY'!$C$4:$C$1200,'County Report'!A81,'SERVICE ENTRY'!$G$4:$G$1200,"Middle Eastern or North African")</f>
        <v>0</v>
      </c>
      <c r="G81" s="105">
        <f>COUNTIFS('SERVICE ENTRY'!$C$4:$C$1200,'County Report'!A81,'SERVICE ENTRY'!$G$4:$G$1200,"Native Hawaiian or Pacific Islander")</f>
        <v>0</v>
      </c>
      <c r="H81" s="91">
        <f>COUNTIFS('SERVICE ENTRY'!$C$4:$C$1200,'County Report'!A81,'SERVICE ENTRY'!$G$4:$G$1200,"White")</f>
        <v>0</v>
      </c>
      <c r="I81" s="105">
        <f>COUNTIFS('SERVICE ENTRY'!$C$4:$C$1200,'County Report'!A81,'SERVICE ENTRY'!$G$4:$G$1200,"Unknown or Other")</f>
        <v>0</v>
      </c>
      <c r="J81" s="214">
        <f>COUNTIFS('SERVICE ENTRY'!$C$4:$C$1200,'County Report'!A81,'SERVICE ENTRY'!$F$4:$F$1200,"Colombian")+COUNTIFS('SERVICE ENTRY'!$C$4:$C$1200,'County Report'!A81,'SERVICE ENTRY'!$F$4:$F$1200,"Cuban")+COUNTIFS('SERVICE ENTRY'!$C$4:$C$1200,'County Report'!A81,'SERVICE ENTRY'!$F$4:$F$1200,"Dominican")+COUNTIFS('SERVICE ENTRY'!$C$4:$C$1200,'County Report'!A81,'SERVICE ENTRY'!$F$4:$F$1200,"Mexican/Mexican-American/Chicano")+COUNTIFS('SERVICE ENTRY'!$C$4:$C$1200,'County Report'!A81,'SERVICE ENTRY'!$F$4:$F$1200,"Puerto Rican")+COUNTIFS('SERVICE ENTRY'!$C$4:$C$1200,'County Report'!A81,'SERVICE ENTRY'!$F$4:$F$1200,"Salvadoran")+COUNTIFS('SERVICE ENTRY'!$C$4:$C$1200,'County Report'!A81,'SERVICE ENTRY'!$F$4:$F$1200,"Other Hispanic/Latino/Spanish origin")</f>
        <v>0</v>
      </c>
      <c r="K81" s="91">
        <f>COUNTIFS('SERVICE ENTRY'!$C$4:$C$1200,'County Report'!A81,'SERVICE ENTRY'!$F$4:$F$1200,"Not of Hispanic/Latino/Spanish origin")</f>
        <v>0</v>
      </c>
      <c r="L81" s="247">
        <f>COUNTIFS('SERVICE ENTRY'!$C$4:$C$1200,'County Report'!A81,'SERVICE ENTRY'!$F$4:$F$1200,"Unknown or Other")</f>
        <v>0</v>
      </c>
    </row>
    <row r="82" spans="1:12" x14ac:dyDescent="0.25">
      <c r="A82" s="167" t="s">
        <v>634</v>
      </c>
      <c r="B82" s="126">
        <f>COUNTIF('SERVICE ENTRY'!$C$4:$C$1200,'County Report'!A82)</f>
        <v>0</v>
      </c>
      <c r="C82" s="124">
        <f>COUNTIFS('SERVICE ENTRY'!$C$4:$C$1200,'County Report'!A82,'SERVICE ENTRY'!$G$4:$G$1200,"American Indian or Alaska Native")</f>
        <v>0</v>
      </c>
      <c r="D82" s="91">
        <f>COUNTIFS('SERVICE ENTRY'!$C$4:$C$1200,'County Report'!A82,'SERVICE ENTRY'!$G$4:$G$1200,"Asian")</f>
        <v>0</v>
      </c>
      <c r="E82" s="91">
        <f>COUNTIFS('SERVICE ENTRY'!$C$4:$C$1200,'County Report'!A82,'SERVICE ENTRY'!$G$4:$G$1200,"Black/African-American")</f>
        <v>0</v>
      </c>
      <c r="F82" s="91">
        <f>COUNTIFS('SERVICE ENTRY'!$C$4:$C$1200,'County Report'!A82,'SERVICE ENTRY'!$G$4:$G$1200,"Middle Eastern or North African")</f>
        <v>0</v>
      </c>
      <c r="G82" s="105">
        <f>COUNTIFS('SERVICE ENTRY'!$C$4:$C$1200,'County Report'!A82,'SERVICE ENTRY'!$G$4:$G$1200,"Native Hawaiian or Pacific Islander")</f>
        <v>0</v>
      </c>
      <c r="H82" s="91">
        <f>COUNTIFS('SERVICE ENTRY'!$C$4:$C$1200,'County Report'!A82,'SERVICE ENTRY'!$G$4:$G$1200,"White")</f>
        <v>0</v>
      </c>
      <c r="I82" s="105">
        <f>COUNTIFS('SERVICE ENTRY'!$C$4:$C$1200,'County Report'!A82,'SERVICE ENTRY'!$G$4:$G$1200,"Unknown or Other")</f>
        <v>0</v>
      </c>
      <c r="J82" s="214">
        <f>COUNTIFS('SERVICE ENTRY'!$C$4:$C$1200,'County Report'!A82,'SERVICE ENTRY'!$F$4:$F$1200,"Colombian")+COUNTIFS('SERVICE ENTRY'!$C$4:$C$1200,'County Report'!A82,'SERVICE ENTRY'!$F$4:$F$1200,"Cuban")+COUNTIFS('SERVICE ENTRY'!$C$4:$C$1200,'County Report'!A82,'SERVICE ENTRY'!$F$4:$F$1200,"Dominican")+COUNTIFS('SERVICE ENTRY'!$C$4:$C$1200,'County Report'!A82,'SERVICE ENTRY'!$F$4:$F$1200,"Mexican/Mexican-American/Chicano")+COUNTIFS('SERVICE ENTRY'!$C$4:$C$1200,'County Report'!A82,'SERVICE ENTRY'!$F$4:$F$1200,"Puerto Rican")+COUNTIFS('SERVICE ENTRY'!$C$4:$C$1200,'County Report'!A82,'SERVICE ENTRY'!$F$4:$F$1200,"Salvadoran")+COUNTIFS('SERVICE ENTRY'!$C$4:$C$1200,'County Report'!A82,'SERVICE ENTRY'!$F$4:$F$1200,"Other Hispanic/Latino/Spanish origin")</f>
        <v>0</v>
      </c>
      <c r="K82" s="91">
        <f>COUNTIFS('SERVICE ENTRY'!$C$4:$C$1200,'County Report'!A82,'SERVICE ENTRY'!$F$4:$F$1200,"Not of Hispanic/Latino/Spanish origin")</f>
        <v>0</v>
      </c>
      <c r="L82" s="247">
        <f>COUNTIFS('SERVICE ENTRY'!$C$4:$C$1200,'County Report'!A82,'SERVICE ENTRY'!$F$4:$F$1200,"Unknown or Other")</f>
        <v>0</v>
      </c>
    </row>
    <row r="83" spans="1:12" x14ac:dyDescent="0.25">
      <c r="A83" s="167" t="s">
        <v>635</v>
      </c>
      <c r="B83" s="126">
        <f>COUNTIF('SERVICE ENTRY'!$C$4:$C$1200,'County Report'!A83)</f>
        <v>0</v>
      </c>
      <c r="C83" s="124">
        <f>COUNTIFS('SERVICE ENTRY'!$C$4:$C$1200,'County Report'!A83,'SERVICE ENTRY'!$G$4:$G$1200,"American Indian or Alaska Native")</f>
        <v>0</v>
      </c>
      <c r="D83" s="91">
        <f>COUNTIFS('SERVICE ENTRY'!$C$4:$C$1200,'County Report'!A83,'SERVICE ENTRY'!$G$4:$G$1200,"Asian")</f>
        <v>0</v>
      </c>
      <c r="E83" s="91">
        <f>COUNTIFS('SERVICE ENTRY'!$C$4:$C$1200,'County Report'!A83,'SERVICE ENTRY'!$G$4:$G$1200,"Black/African-American")</f>
        <v>0</v>
      </c>
      <c r="F83" s="91">
        <f>COUNTIFS('SERVICE ENTRY'!$C$4:$C$1200,'County Report'!A83,'SERVICE ENTRY'!$G$4:$G$1200,"Middle Eastern or North African")</f>
        <v>0</v>
      </c>
      <c r="G83" s="105">
        <f>COUNTIFS('SERVICE ENTRY'!$C$4:$C$1200,'County Report'!A83,'SERVICE ENTRY'!$G$4:$G$1200,"Native Hawaiian or Pacific Islander")</f>
        <v>0</v>
      </c>
      <c r="H83" s="91">
        <f>COUNTIFS('SERVICE ENTRY'!$C$4:$C$1200,'County Report'!A83,'SERVICE ENTRY'!$G$4:$G$1200,"White")</f>
        <v>0</v>
      </c>
      <c r="I83" s="105">
        <f>COUNTIFS('SERVICE ENTRY'!$C$4:$C$1200,'County Report'!A83,'SERVICE ENTRY'!$G$4:$G$1200,"Unknown or Other")</f>
        <v>0</v>
      </c>
      <c r="J83" s="214">
        <f>COUNTIFS('SERVICE ENTRY'!$C$4:$C$1200,'County Report'!A83,'SERVICE ENTRY'!$F$4:$F$1200,"Colombian")+COUNTIFS('SERVICE ENTRY'!$C$4:$C$1200,'County Report'!A83,'SERVICE ENTRY'!$F$4:$F$1200,"Cuban")+COUNTIFS('SERVICE ENTRY'!$C$4:$C$1200,'County Report'!A83,'SERVICE ENTRY'!$F$4:$F$1200,"Dominican")+COUNTIFS('SERVICE ENTRY'!$C$4:$C$1200,'County Report'!A83,'SERVICE ENTRY'!$F$4:$F$1200,"Mexican/Mexican-American/Chicano")+COUNTIFS('SERVICE ENTRY'!$C$4:$C$1200,'County Report'!A83,'SERVICE ENTRY'!$F$4:$F$1200,"Puerto Rican")+COUNTIFS('SERVICE ENTRY'!$C$4:$C$1200,'County Report'!A83,'SERVICE ENTRY'!$F$4:$F$1200,"Salvadoran")+COUNTIFS('SERVICE ENTRY'!$C$4:$C$1200,'County Report'!A83,'SERVICE ENTRY'!$F$4:$F$1200,"Other Hispanic/Latino/Spanish origin")</f>
        <v>0</v>
      </c>
      <c r="K83" s="91">
        <f>COUNTIFS('SERVICE ENTRY'!$C$4:$C$1200,'County Report'!A83,'SERVICE ENTRY'!$F$4:$F$1200,"Not of Hispanic/Latino/Spanish origin")</f>
        <v>0</v>
      </c>
      <c r="L83" s="247">
        <f>COUNTIFS('SERVICE ENTRY'!$C$4:$C$1200,'County Report'!A83,'SERVICE ENTRY'!$F$4:$F$1200,"Unknown or Other")</f>
        <v>0</v>
      </c>
    </row>
    <row r="84" spans="1:12" x14ac:dyDescent="0.25">
      <c r="A84" s="167" t="s">
        <v>636</v>
      </c>
      <c r="B84" s="126">
        <f>COUNTIF('SERVICE ENTRY'!$C$4:$C$1200,'County Report'!A84)</f>
        <v>0</v>
      </c>
      <c r="C84" s="124">
        <f>COUNTIFS('SERVICE ENTRY'!$C$4:$C$1200,'County Report'!A84,'SERVICE ENTRY'!$G$4:$G$1200,"American Indian or Alaska Native")</f>
        <v>0</v>
      </c>
      <c r="D84" s="91">
        <f>COUNTIFS('SERVICE ENTRY'!$C$4:$C$1200,'County Report'!A84,'SERVICE ENTRY'!$G$4:$G$1200,"Asian")</f>
        <v>0</v>
      </c>
      <c r="E84" s="91">
        <f>COUNTIFS('SERVICE ENTRY'!$C$4:$C$1200,'County Report'!A84,'SERVICE ENTRY'!$G$4:$G$1200,"Black/African-American")</f>
        <v>0</v>
      </c>
      <c r="F84" s="91">
        <f>COUNTIFS('SERVICE ENTRY'!$C$4:$C$1200,'County Report'!A84,'SERVICE ENTRY'!$G$4:$G$1200,"Middle Eastern or North African")</f>
        <v>0</v>
      </c>
      <c r="G84" s="105">
        <f>COUNTIFS('SERVICE ENTRY'!$C$4:$C$1200,'County Report'!A84,'SERVICE ENTRY'!$G$4:$G$1200,"Native Hawaiian or Pacific Islander")</f>
        <v>0</v>
      </c>
      <c r="H84" s="91">
        <f>COUNTIFS('SERVICE ENTRY'!$C$4:$C$1200,'County Report'!A84,'SERVICE ENTRY'!$G$4:$G$1200,"White")</f>
        <v>0</v>
      </c>
      <c r="I84" s="105">
        <f>COUNTIFS('SERVICE ENTRY'!$C$4:$C$1200,'County Report'!A84,'SERVICE ENTRY'!$G$4:$G$1200,"Unknown or Other")</f>
        <v>0</v>
      </c>
      <c r="J84" s="214">
        <f>COUNTIFS('SERVICE ENTRY'!$C$4:$C$1200,'County Report'!A84,'SERVICE ENTRY'!$F$4:$F$1200,"Colombian")+COUNTIFS('SERVICE ENTRY'!$C$4:$C$1200,'County Report'!A84,'SERVICE ENTRY'!$F$4:$F$1200,"Cuban")+COUNTIFS('SERVICE ENTRY'!$C$4:$C$1200,'County Report'!A84,'SERVICE ENTRY'!$F$4:$F$1200,"Dominican")+COUNTIFS('SERVICE ENTRY'!$C$4:$C$1200,'County Report'!A84,'SERVICE ENTRY'!$F$4:$F$1200,"Mexican/Mexican-American/Chicano")+COUNTIFS('SERVICE ENTRY'!$C$4:$C$1200,'County Report'!A84,'SERVICE ENTRY'!$F$4:$F$1200,"Puerto Rican")+COUNTIFS('SERVICE ENTRY'!$C$4:$C$1200,'County Report'!A84,'SERVICE ENTRY'!$F$4:$F$1200,"Salvadoran")+COUNTIFS('SERVICE ENTRY'!$C$4:$C$1200,'County Report'!A84,'SERVICE ENTRY'!$F$4:$F$1200,"Other Hispanic/Latino/Spanish origin")</f>
        <v>0</v>
      </c>
      <c r="K84" s="91">
        <f>COUNTIFS('SERVICE ENTRY'!$C$4:$C$1200,'County Report'!A84,'SERVICE ENTRY'!$F$4:$F$1200,"Not of Hispanic/Latino/Spanish origin")</f>
        <v>0</v>
      </c>
      <c r="L84" s="247">
        <f>COUNTIFS('SERVICE ENTRY'!$C$4:$C$1200,'County Report'!A84,'SERVICE ENTRY'!$F$4:$F$1200,"Unknown or Other")</f>
        <v>0</v>
      </c>
    </row>
    <row r="85" spans="1:12" x14ac:dyDescent="0.25">
      <c r="A85" s="167" t="s">
        <v>637</v>
      </c>
      <c r="B85" s="126">
        <f>COUNTIF('SERVICE ENTRY'!$C$4:$C$1200,'County Report'!A85)</f>
        <v>0</v>
      </c>
      <c r="C85" s="124">
        <f>COUNTIFS('SERVICE ENTRY'!$C$4:$C$1200,'County Report'!A85,'SERVICE ENTRY'!$G$4:$G$1200,"American Indian or Alaska Native")</f>
        <v>0</v>
      </c>
      <c r="D85" s="91">
        <f>COUNTIFS('SERVICE ENTRY'!$C$4:$C$1200,'County Report'!A85,'SERVICE ENTRY'!$G$4:$G$1200,"Asian")</f>
        <v>0</v>
      </c>
      <c r="E85" s="91">
        <f>COUNTIFS('SERVICE ENTRY'!$C$4:$C$1200,'County Report'!A85,'SERVICE ENTRY'!$G$4:$G$1200,"Black/African-American")</f>
        <v>0</v>
      </c>
      <c r="F85" s="91">
        <f>COUNTIFS('SERVICE ENTRY'!$C$4:$C$1200,'County Report'!A85,'SERVICE ENTRY'!$G$4:$G$1200,"Middle Eastern or North African")</f>
        <v>0</v>
      </c>
      <c r="G85" s="105">
        <f>COUNTIFS('SERVICE ENTRY'!$C$4:$C$1200,'County Report'!A85,'SERVICE ENTRY'!$G$4:$G$1200,"Native Hawaiian or Pacific Islander")</f>
        <v>0</v>
      </c>
      <c r="H85" s="91">
        <f>COUNTIFS('SERVICE ENTRY'!$C$4:$C$1200,'County Report'!A85,'SERVICE ENTRY'!$G$4:$G$1200,"White")</f>
        <v>0</v>
      </c>
      <c r="I85" s="105">
        <f>COUNTIFS('SERVICE ENTRY'!$C$4:$C$1200,'County Report'!A85,'SERVICE ENTRY'!$G$4:$G$1200,"Unknown or Other")</f>
        <v>0</v>
      </c>
      <c r="J85" s="214">
        <f>COUNTIFS('SERVICE ENTRY'!$C$4:$C$1200,'County Report'!A85,'SERVICE ENTRY'!$F$4:$F$1200,"Colombian")+COUNTIFS('SERVICE ENTRY'!$C$4:$C$1200,'County Report'!A85,'SERVICE ENTRY'!$F$4:$F$1200,"Cuban")+COUNTIFS('SERVICE ENTRY'!$C$4:$C$1200,'County Report'!A85,'SERVICE ENTRY'!$F$4:$F$1200,"Dominican")+COUNTIFS('SERVICE ENTRY'!$C$4:$C$1200,'County Report'!A85,'SERVICE ENTRY'!$F$4:$F$1200,"Mexican/Mexican-American/Chicano")+COUNTIFS('SERVICE ENTRY'!$C$4:$C$1200,'County Report'!A85,'SERVICE ENTRY'!$F$4:$F$1200,"Puerto Rican")+COUNTIFS('SERVICE ENTRY'!$C$4:$C$1200,'County Report'!A85,'SERVICE ENTRY'!$F$4:$F$1200,"Salvadoran")+COUNTIFS('SERVICE ENTRY'!$C$4:$C$1200,'County Report'!A85,'SERVICE ENTRY'!$F$4:$F$1200,"Other Hispanic/Latino/Spanish origin")</f>
        <v>0</v>
      </c>
      <c r="K85" s="91">
        <f>COUNTIFS('SERVICE ENTRY'!$C$4:$C$1200,'County Report'!A85,'SERVICE ENTRY'!$F$4:$F$1200,"Not of Hispanic/Latino/Spanish origin")</f>
        <v>0</v>
      </c>
      <c r="L85" s="247">
        <f>COUNTIFS('SERVICE ENTRY'!$C$4:$C$1200,'County Report'!A85,'SERVICE ENTRY'!$F$4:$F$1200,"Unknown or Other")</f>
        <v>0</v>
      </c>
    </row>
    <row r="86" spans="1:12" x14ac:dyDescent="0.25">
      <c r="A86" s="167" t="s">
        <v>638</v>
      </c>
      <c r="B86" s="126">
        <f>COUNTIF('SERVICE ENTRY'!$C$4:$C$1200,'County Report'!A86)</f>
        <v>0</v>
      </c>
      <c r="C86" s="124">
        <f>COUNTIFS('SERVICE ENTRY'!$C$4:$C$1200,'County Report'!A86,'SERVICE ENTRY'!$G$4:$G$1200,"American Indian or Alaska Native")</f>
        <v>0</v>
      </c>
      <c r="D86" s="91">
        <f>COUNTIFS('SERVICE ENTRY'!$C$4:$C$1200,'County Report'!A86,'SERVICE ENTRY'!$G$4:$G$1200,"Asian")</f>
        <v>0</v>
      </c>
      <c r="E86" s="91">
        <f>COUNTIFS('SERVICE ENTRY'!$C$4:$C$1200,'County Report'!A86,'SERVICE ENTRY'!$G$4:$G$1200,"Black/African-American")</f>
        <v>0</v>
      </c>
      <c r="F86" s="91">
        <f>COUNTIFS('SERVICE ENTRY'!$C$4:$C$1200,'County Report'!A86,'SERVICE ENTRY'!$G$4:$G$1200,"Middle Eastern or North African")</f>
        <v>0</v>
      </c>
      <c r="G86" s="105">
        <f>COUNTIFS('SERVICE ENTRY'!$C$4:$C$1200,'County Report'!A86,'SERVICE ENTRY'!$G$4:$G$1200,"Native Hawaiian or Pacific Islander")</f>
        <v>0</v>
      </c>
      <c r="H86" s="91">
        <f>COUNTIFS('SERVICE ENTRY'!$C$4:$C$1200,'County Report'!A86,'SERVICE ENTRY'!$G$4:$G$1200,"White")</f>
        <v>0</v>
      </c>
      <c r="I86" s="105">
        <f>COUNTIFS('SERVICE ENTRY'!$C$4:$C$1200,'County Report'!A86,'SERVICE ENTRY'!$G$4:$G$1200,"Unknown or Other")</f>
        <v>0</v>
      </c>
      <c r="J86" s="214">
        <f>COUNTIFS('SERVICE ENTRY'!$C$4:$C$1200,'County Report'!A86,'SERVICE ENTRY'!$F$4:$F$1200,"Colombian")+COUNTIFS('SERVICE ENTRY'!$C$4:$C$1200,'County Report'!A86,'SERVICE ENTRY'!$F$4:$F$1200,"Cuban")+COUNTIFS('SERVICE ENTRY'!$C$4:$C$1200,'County Report'!A86,'SERVICE ENTRY'!$F$4:$F$1200,"Dominican")+COUNTIFS('SERVICE ENTRY'!$C$4:$C$1200,'County Report'!A86,'SERVICE ENTRY'!$F$4:$F$1200,"Mexican/Mexican-American/Chicano")+COUNTIFS('SERVICE ENTRY'!$C$4:$C$1200,'County Report'!A86,'SERVICE ENTRY'!$F$4:$F$1200,"Puerto Rican")+COUNTIFS('SERVICE ENTRY'!$C$4:$C$1200,'County Report'!A86,'SERVICE ENTRY'!$F$4:$F$1200,"Salvadoran")+COUNTIFS('SERVICE ENTRY'!$C$4:$C$1200,'County Report'!A86,'SERVICE ENTRY'!$F$4:$F$1200,"Other Hispanic/Latino/Spanish origin")</f>
        <v>0</v>
      </c>
      <c r="K86" s="91">
        <f>COUNTIFS('SERVICE ENTRY'!$C$4:$C$1200,'County Report'!A86,'SERVICE ENTRY'!$F$4:$F$1200,"Not of Hispanic/Latino/Spanish origin")</f>
        <v>0</v>
      </c>
      <c r="L86" s="247">
        <f>COUNTIFS('SERVICE ENTRY'!$C$4:$C$1200,'County Report'!A86,'SERVICE ENTRY'!$F$4:$F$1200,"Unknown or Other")</f>
        <v>0</v>
      </c>
    </row>
    <row r="87" spans="1:12" x14ac:dyDescent="0.25">
      <c r="A87" s="167" t="s">
        <v>639</v>
      </c>
      <c r="B87" s="126">
        <f>COUNTIF('SERVICE ENTRY'!$C$4:$C$1200,'County Report'!A87)</f>
        <v>0</v>
      </c>
      <c r="C87" s="124">
        <f>COUNTIFS('SERVICE ENTRY'!$C$4:$C$1200,'County Report'!A87,'SERVICE ENTRY'!$G$4:$G$1200,"American Indian or Alaska Native")</f>
        <v>0</v>
      </c>
      <c r="D87" s="91">
        <f>COUNTIFS('SERVICE ENTRY'!$C$4:$C$1200,'County Report'!A87,'SERVICE ENTRY'!$G$4:$G$1200,"Asian")</f>
        <v>0</v>
      </c>
      <c r="E87" s="91">
        <f>COUNTIFS('SERVICE ENTRY'!$C$4:$C$1200,'County Report'!A87,'SERVICE ENTRY'!$G$4:$G$1200,"Black/African-American")</f>
        <v>0</v>
      </c>
      <c r="F87" s="91">
        <f>COUNTIFS('SERVICE ENTRY'!$C$4:$C$1200,'County Report'!A87,'SERVICE ENTRY'!$G$4:$G$1200,"Middle Eastern or North African")</f>
        <v>0</v>
      </c>
      <c r="G87" s="105">
        <f>COUNTIFS('SERVICE ENTRY'!$C$4:$C$1200,'County Report'!A87,'SERVICE ENTRY'!$G$4:$G$1200,"Native Hawaiian or Pacific Islander")</f>
        <v>0</v>
      </c>
      <c r="H87" s="91">
        <f>COUNTIFS('SERVICE ENTRY'!$C$4:$C$1200,'County Report'!A87,'SERVICE ENTRY'!$G$4:$G$1200,"White")</f>
        <v>0</v>
      </c>
      <c r="I87" s="105">
        <f>COUNTIFS('SERVICE ENTRY'!$C$4:$C$1200,'County Report'!A87,'SERVICE ENTRY'!$G$4:$G$1200,"Unknown or Other")</f>
        <v>0</v>
      </c>
      <c r="J87" s="214">
        <f>COUNTIFS('SERVICE ENTRY'!$C$4:$C$1200,'County Report'!A87,'SERVICE ENTRY'!$F$4:$F$1200,"Colombian")+COUNTIFS('SERVICE ENTRY'!$C$4:$C$1200,'County Report'!A87,'SERVICE ENTRY'!$F$4:$F$1200,"Cuban")+COUNTIFS('SERVICE ENTRY'!$C$4:$C$1200,'County Report'!A87,'SERVICE ENTRY'!$F$4:$F$1200,"Dominican")+COUNTIFS('SERVICE ENTRY'!$C$4:$C$1200,'County Report'!A87,'SERVICE ENTRY'!$F$4:$F$1200,"Mexican/Mexican-American/Chicano")+COUNTIFS('SERVICE ENTRY'!$C$4:$C$1200,'County Report'!A87,'SERVICE ENTRY'!$F$4:$F$1200,"Puerto Rican")+COUNTIFS('SERVICE ENTRY'!$C$4:$C$1200,'County Report'!A87,'SERVICE ENTRY'!$F$4:$F$1200,"Salvadoran")+COUNTIFS('SERVICE ENTRY'!$C$4:$C$1200,'County Report'!A87,'SERVICE ENTRY'!$F$4:$F$1200,"Other Hispanic/Latino/Spanish origin")</f>
        <v>0</v>
      </c>
      <c r="K87" s="91">
        <f>COUNTIFS('SERVICE ENTRY'!$C$4:$C$1200,'County Report'!A87,'SERVICE ENTRY'!$F$4:$F$1200,"Not of Hispanic/Latino/Spanish origin")</f>
        <v>0</v>
      </c>
      <c r="L87" s="247">
        <f>COUNTIFS('SERVICE ENTRY'!$C$4:$C$1200,'County Report'!A87,'SERVICE ENTRY'!$F$4:$F$1200,"Unknown or Other")</f>
        <v>0</v>
      </c>
    </row>
    <row r="88" spans="1:12" x14ac:dyDescent="0.25">
      <c r="A88" s="167" t="s">
        <v>640</v>
      </c>
      <c r="B88" s="126">
        <f>COUNTIF('SERVICE ENTRY'!$C$4:$C$1200,'County Report'!A88)</f>
        <v>0</v>
      </c>
      <c r="C88" s="124">
        <f>COUNTIFS('SERVICE ENTRY'!$C$4:$C$1200,'County Report'!A88,'SERVICE ENTRY'!$G$4:$G$1200,"American Indian or Alaska Native")</f>
        <v>0</v>
      </c>
      <c r="D88" s="91">
        <f>COUNTIFS('SERVICE ENTRY'!$C$4:$C$1200,'County Report'!A88,'SERVICE ENTRY'!$G$4:$G$1200,"Asian")</f>
        <v>0</v>
      </c>
      <c r="E88" s="91">
        <f>COUNTIFS('SERVICE ENTRY'!$C$4:$C$1200,'County Report'!A88,'SERVICE ENTRY'!$G$4:$G$1200,"Black/African-American")</f>
        <v>0</v>
      </c>
      <c r="F88" s="91">
        <f>COUNTIFS('SERVICE ENTRY'!$C$4:$C$1200,'County Report'!A88,'SERVICE ENTRY'!$G$4:$G$1200,"Middle Eastern or North African")</f>
        <v>0</v>
      </c>
      <c r="G88" s="105">
        <f>COUNTIFS('SERVICE ENTRY'!$C$4:$C$1200,'County Report'!A88,'SERVICE ENTRY'!$G$4:$G$1200,"Native Hawaiian or Pacific Islander")</f>
        <v>0</v>
      </c>
      <c r="H88" s="91">
        <f>COUNTIFS('SERVICE ENTRY'!$C$4:$C$1200,'County Report'!A88,'SERVICE ENTRY'!$G$4:$G$1200,"White")</f>
        <v>0</v>
      </c>
      <c r="I88" s="105">
        <f>COUNTIFS('SERVICE ENTRY'!$C$4:$C$1200,'County Report'!A88,'SERVICE ENTRY'!$G$4:$G$1200,"Unknown or Other")</f>
        <v>0</v>
      </c>
      <c r="J88" s="214">
        <f>COUNTIFS('SERVICE ENTRY'!$C$4:$C$1200,'County Report'!A88,'SERVICE ENTRY'!$F$4:$F$1200,"Colombian")+COUNTIFS('SERVICE ENTRY'!$C$4:$C$1200,'County Report'!A88,'SERVICE ENTRY'!$F$4:$F$1200,"Cuban")+COUNTIFS('SERVICE ENTRY'!$C$4:$C$1200,'County Report'!A88,'SERVICE ENTRY'!$F$4:$F$1200,"Dominican")+COUNTIFS('SERVICE ENTRY'!$C$4:$C$1200,'County Report'!A88,'SERVICE ENTRY'!$F$4:$F$1200,"Mexican/Mexican-American/Chicano")+COUNTIFS('SERVICE ENTRY'!$C$4:$C$1200,'County Report'!A88,'SERVICE ENTRY'!$F$4:$F$1200,"Puerto Rican")+COUNTIFS('SERVICE ENTRY'!$C$4:$C$1200,'County Report'!A88,'SERVICE ENTRY'!$F$4:$F$1200,"Salvadoran")+COUNTIFS('SERVICE ENTRY'!$C$4:$C$1200,'County Report'!A88,'SERVICE ENTRY'!$F$4:$F$1200,"Other Hispanic/Latino/Spanish origin")</f>
        <v>0</v>
      </c>
      <c r="K88" s="91">
        <f>COUNTIFS('SERVICE ENTRY'!$C$4:$C$1200,'County Report'!A88,'SERVICE ENTRY'!$F$4:$F$1200,"Not of Hispanic/Latino/Spanish origin")</f>
        <v>0</v>
      </c>
      <c r="L88" s="247">
        <f>COUNTIFS('SERVICE ENTRY'!$C$4:$C$1200,'County Report'!A88,'SERVICE ENTRY'!$F$4:$F$1200,"Unknown or Other")</f>
        <v>0</v>
      </c>
    </row>
    <row r="89" spans="1:12" x14ac:dyDescent="0.25">
      <c r="A89" s="167" t="s">
        <v>641</v>
      </c>
      <c r="B89" s="126">
        <f>COUNTIF('SERVICE ENTRY'!$C$4:$C$1200,'County Report'!A89)</f>
        <v>0</v>
      </c>
      <c r="C89" s="124">
        <f>COUNTIFS('SERVICE ENTRY'!$C$4:$C$1200,'County Report'!A89,'SERVICE ENTRY'!$G$4:$G$1200,"American Indian or Alaska Native")</f>
        <v>0</v>
      </c>
      <c r="D89" s="91">
        <f>COUNTIFS('SERVICE ENTRY'!$C$4:$C$1200,'County Report'!A89,'SERVICE ENTRY'!$G$4:$G$1200,"Asian")</f>
        <v>0</v>
      </c>
      <c r="E89" s="91">
        <f>COUNTIFS('SERVICE ENTRY'!$C$4:$C$1200,'County Report'!A89,'SERVICE ENTRY'!$G$4:$G$1200,"Black/African-American")</f>
        <v>0</v>
      </c>
      <c r="F89" s="91">
        <f>COUNTIFS('SERVICE ENTRY'!$C$4:$C$1200,'County Report'!A89,'SERVICE ENTRY'!$G$4:$G$1200,"Middle Eastern or North African")</f>
        <v>0</v>
      </c>
      <c r="G89" s="105">
        <f>COUNTIFS('SERVICE ENTRY'!$C$4:$C$1200,'County Report'!A89,'SERVICE ENTRY'!$G$4:$G$1200,"Native Hawaiian or Pacific Islander")</f>
        <v>0</v>
      </c>
      <c r="H89" s="91">
        <f>COUNTIFS('SERVICE ENTRY'!$C$4:$C$1200,'County Report'!A89,'SERVICE ENTRY'!$G$4:$G$1200,"White")</f>
        <v>0</v>
      </c>
      <c r="I89" s="105">
        <f>COUNTIFS('SERVICE ENTRY'!$C$4:$C$1200,'County Report'!A89,'SERVICE ENTRY'!$G$4:$G$1200,"Unknown or Other")</f>
        <v>0</v>
      </c>
      <c r="J89" s="214">
        <f>COUNTIFS('SERVICE ENTRY'!$C$4:$C$1200,'County Report'!A89,'SERVICE ENTRY'!$F$4:$F$1200,"Colombian")+COUNTIFS('SERVICE ENTRY'!$C$4:$C$1200,'County Report'!A89,'SERVICE ENTRY'!$F$4:$F$1200,"Cuban")+COUNTIFS('SERVICE ENTRY'!$C$4:$C$1200,'County Report'!A89,'SERVICE ENTRY'!$F$4:$F$1200,"Dominican")+COUNTIFS('SERVICE ENTRY'!$C$4:$C$1200,'County Report'!A89,'SERVICE ENTRY'!$F$4:$F$1200,"Mexican/Mexican-American/Chicano")+COUNTIFS('SERVICE ENTRY'!$C$4:$C$1200,'County Report'!A89,'SERVICE ENTRY'!$F$4:$F$1200,"Puerto Rican")+COUNTIFS('SERVICE ENTRY'!$C$4:$C$1200,'County Report'!A89,'SERVICE ENTRY'!$F$4:$F$1200,"Salvadoran")+COUNTIFS('SERVICE ENTRY'!$C$4:$C$1200,'County Report'!A89,'SERVICE ENTRY'!$F$4:$F$1200,"Other Hispanic/Latino/Spanish origin")</f>
        <v>0</v>
      </c>
      <c r="K89" s="91">
        <f>COUNTIFS('SERVICE ENTRY'!$C$4:$C$1200,'County Report'!A89,'SERVICE ENTRY'!$F$4:$F$1200,"Not of Hispanic/Latino/Spanish origin")</f>
        <v>0</v>
      </c>
      <c r="L89" s="247">
        <f>COUNTIFS('SERVICE ENTRY'!$C$4:$C$1200,'County Report'!A89,'SERVICE ENTRY'!$F$4:$F$1200,"Unknown or Other")</f>
        <v>0</v>
      </c>
    </row>
    <row r="90" spans="1:12" x14ac:dyDescent="0.25">
      <c r="A90" s="167" t="s">
        <v>642</v>
      </c>
      <c r="B90" s="126">
        <f>COUNTIF('SERVICE ENTRY'!$C$4:$C$1200,'County Report'!A90)</f>
        <v>0</v>
      </c>
      <c r="C90" s="124">
        <f>COUNTIFS('SERVICE ENTRY'!$C$4:$C$1200,'County Report'!A90,'SERVICE ENTRY'!$G$4:$G$1200,"American Indian or Alaska Native")</f>
        <v>0</v>
      </c>
      <c r="D90" s="91">
        <f>COUNTIFS('SERVICE ENTRY'!$C$4:$C$1200,'County Report'!A90,'SERVICE ENTRY'!$G$4:$G$1200,"Asian")</f>
        <v>0</v>
      </c>
      <c r="E90" s="91">
        <f>COUNTIFS('SERVICE ENTRY'!$C$4:$C$1200,'County Report'!A90,'SERVICE ENTRY'!$G$4:$G$1200,"Black/African-American")</f>
        <v>0</v>
      </c>
      <c r="F90" s="91">
        <f>COUNTIFS('SERVICE ENTRY'!$C$4:$C$1200,'County Report'!A90,'SERVICE ENTRY'!$G$4:$G$1200,"Middle Eastern or North African")</f>
        <v>0</v>
      </c>
      <c r="G90" s="105">
        <f>COUNTIFS('SERVICE ENTRY'!$C$4:$C$1200,'County Report'!A90,'SERVICE ENTRY'!$G$4:$G$1200,"Native Hawaiian or Pacific Islander")</f>
        <v>0</v>
      </c>
      <c r="H90" s="91">
        <f>COUNTIFS('SERVICE ENTRY'!$C$4:$C$1200,'County Report'!A90,'SERVICE ENTRY'!$G$4:$G$1200,"White")</f>
        <v>0</v>
      </c>
      <c r="I90" s="105">
        <f>COUNTIFS('SERVICE ENTRY'!$C$4:$C$1200,'County Report'!A90,'SERVICE ENTRY'!$G$4:$G$1200,"Unknown or Other")</f>
        <v>0</v>
      </c>
      <c r="J90" s="214">
        <f>COUNTIFS('SERVICE ENTRY'!$C$4:$C$1200,'County Report'!A90,'SERVICE ENTRY'!$F$4:$F$1200,"Colombian")+COUNTIFS('SERVICE ENTRY'!$C$4:$C$1200,'County Report'!A90,'SERVICE ENTRY'!$F$4:$F$1200,"Cuban")+COUNTIFS('SERVICE ENTRY'!$C$4:$C$1200,'County Report'!A90,'SERVICE ENTRY'!$F$4:$F$1200,"Dominican")+COUNTIFS('SERVICE ENTRY'!$C$4:$C$1200,'County Report'!A90,'SERVICE ENTRY'!$F$4:$F$1200,"Mexican/Mexican-American/Chicano")+COUNTIFS('SERVICE ENTRY'!$C$4:$C$1200,'County Report'!A90,'SERVICE ENTRY'!$F$4:$F$1200,"Puerto Rican")+COUNTIFS('SERVICE ENTRY'!$C$4:$C$1200,'County Report'!A90,'SERVICE ENTRY'!$F$4:$F$1200,"Salvadoran")+COUNTIFS('SERVICE ENTRY'!$C$4:$C$1200,'County Report'!A90,'SERVICE ENTRY'!$F$4:$F$1200,"Other Hispanic/Latino/Spanish origin")</f>
        <v>0</v>
      </c>
      <c r="K90" s="91">
        <f>COUNTIFS('SERVICE ENTRY'!$C$4:$C$1200,'County Report'!A90,'SERVICE ENTRY'!$F$4:$F$1200,"Not of Hispanic/Latino/Spanish origin")</f>
        <v>0</v>
      </c>
      <c r="L90" s="247">
        <f>COUNTIFS('SERVICE ENTRY'!$C$4:$C$1200,'County Report'!A90,'SERVICE ENTRY'!$F$4:$F$1200,"Unknown or Other")</f>
        <v>0</v>
      </c>
    </row>
    <row r="91" spans="1:12" x14ac:dyDescent="0.25">
      <c r="A91" s="167" t="s">
        <v>643</v>
      </c>
      <c r="B91" s="126">
        <f>COUNTIF('SERVICE ENTRY'!$C$4:$C$1200,'County Report'!A91)</f>
        <v>0</v>
      </c>
      <c r="C91" s="124">
        <f>COUNTIFS('SERVICE ENTRY'!$C$4:$C$1200,'County Report'!A91,'SERVICE ENTRY'!$G$4:$G$1200,"American Indian or Alaska Native")</f>
        <v>0</v>
      </c>
      <c r="D91" s="91">
        <f>COUNTIFS('SERVICE ENTRY'!$C$4:$C$1200,'County Report'!A91,'SERVICE ENTRY'!$G$4:$G$1200,"Asian")</f>
        <v>0</v>
      </c>
      <c r="E91" s="91">
        <f>COUNTIFS('SERVICE ENTRY'!$C$4:$C$1200,'County Report'!A91,'SERVICE ENTRY'!$G$4:$G$1200,"Black/African-American")</f>
        <v>0</v>
      </c>
      <c r="F91" s="91">
        <f>COUNTIFS('SERVICE ENTRY'!$C$4:$C$1200,'County Report'!A91,'SERVICE ENTRY'!$G$4:$G$1200,"Middle Eastern or North African")</f>
        <v>0</v>
      </c>
      <c r="G91" s="105">
        <f>COUNTIFS('SERVICE ENTRY'!$C$4:$C$1200,'County Report'!A91,'SERVICE ENTRY'!$G$4:$G$1200,"Native Hawaiian or Pacific Islander")</f>
        <v>0</v>
      </c>
      <c r="H91" s="91">
        <f>COUNTIFS('SERVICE ENTRY'!$C$4:$C$1200,'County Report'!A91,'SERVICE ENTRY'!$G$4:$G$1200,"White")</f>
        <v>0</v>
      </c>
      <c r="I91" s="105">
        <f>COUNTIFS('SERVICE ENTRY'!$C$4:$C$1200,'County Report'!A91,'SERVICE ENTRY'!$G$4:$G$1200,"Unknown or Other")</f>
        <v>0</v>
      </c>
      <c r="J91" s="214">
        <f>COUNTIFS('SERVICE ENTRY'!$C$4:$C$1200,'County Report'!A91,'SERVICE ENTRY'!$F$4:$F$1200,"Colombian")+COUNTIFS('SERVICE ENTRY'!$C$4:$C$1200,'County Report'!A91,'SERVICE ENTRY'!$F$4:$F$1200,"Cuban")+COUNTIFS('SERVICE ENTRY'!$C$4:$C$1200,'County Report'!A91,'SERVICE ENTRY'!$F$4:$F$1200,"Dominican")+COUNTIFS('SERVICE ENTRY'!$C$4:$C$1200,'County Report'!A91,'SERVICE ENTRY'!$F$4:$F$1200,"Mexican/Mexican-American/Chicano")+COUNTIFS('SERVICE ENTRY'!$C$4:$C$1200,'County Report'!A91,'SERVICE ENTRY'!$F$4:$F$1200,"Puerto Rican")+COUNTIFS('SERVICE ENTRY'!$C$4:$C$1200,'County Report'!A91,'SERVICE ENTRY'!$F$4:$F$1200,"Salvadoran")+COUNTIFS('SERVICE ENTRY'!$C$4:$C$1200,'County Report'!A91,'SERVICE ENTRY'!$F$4:$F$1200,"Other Hispanic/Latino/Spanish origin")</f>
        <v>0</v>
      </c>
      <c r="K91" s="91">
        <f>COUNTIFS('SERVICE ENTRY'!$C$4:$C$1200,'County Report'!A91,'SERVICE ENTRY'!$F$4:$F$1200,"Not of Hispanic/Latino/Spanish origin")</f>
        <v>0</v>
      </c>
      <c r="L91" s="247">
        <f>COUNTIFS('SERVICE ENTRY'!$C$4:$C$1200,'County Report'!A91,'SERVICE ENTRY'!$F$4:$F$1200,"Unknown or Other")</f>
        <v>0</v>
      </c>
    </row>
    <row r="92" spans="1:12" x14ac:dyDescent="0.25">
      <c r="A92" s="167" t="s">
        <v>644</v>
      </c>
      <c r="B92" s="126">
        <f>COUNTIF('SERVICE ENTRY'!$C$4:$C$1200,'County Report'!A92)</f>
        <v>0</v>
      </c>
      <c r="C92" s="124">
        <f>COUNTIFS('SERVICE ENTRY'!$C$4:$C$1200,'County Report'!A92,'SERVICE ENTRY'!$G$4:$G$1200,"American Indian or Alaska Native")</f>
        <v>0</v>
      </c>
      <c r="D92" s="91">
        <f>COUNTIFS('SERVICE ENTRY'!$C$4:$C$1200,'County Report'!A92,'SERVICE ENTRY'!$G$4:$G$1200,"Asian")</f>
        <v>0</v>
      </c>
      <c r="E92" s="91">
        <f>COUNTIFS('SERVICE ENTRY'!$C$4:$C$1200,'County Report'!A92,'SERVICE ENTRY'!$G$4:$G$1200,"Black/African-American")</f>
        <v>0</v>
      </c>
      <c r="F92" s="91">
        <f>COUNTIFS('SERVICE ENTRY'!$C$4:$C$1200,'County Report'!A92,'SERVICE ENTRY'!$G$4:$G$1200,"Middle Eastern or North African")</f>
        <v>0</v>
      </c>
      <c r="G92" s="105">
        <f>COUNTIFS('SERVICE ENTRY'!$C$4:$C$1200,'County Report'!A92,'SERVICE ENTRY'!$G$4:$G$1200,"Native Hawaiian or Pacific Islander")</f>
        <v>0</v>
      </c>
      <c r="H92" s="91">
        <f>COUNTIFS('SERVICE ENTRY'!$C$4:$C$1200,'County Report'!A92,'SERVICE ENTRY'!$G$4:$G$1200,"White")</f>
        <v>0</v>
      </c>
      <c r="I92" s="105">
        <f>COUNTIFS('SERVICE ENTRY'!$C$4:$C$1200,'County Report'!A92,'SERVICE ENTRY'!$G$4:$G$1200,"Unknown or Other")</f>
        <v>0</v>
      </c>
      <c r="J92" s="214">
        <f>COUNTIFS('SERVICE ENTRY'!$C$4:$C$1200,'County Report'!A92,'SERVICE ENTRY'!$F$4:$F$1200,"Colombian")+COUNTIFS('SERVICE ENTRY'!$C$4:$C$1200,'County Report'!A92,'SERVICE ENTRY'!$F$4:$F$1200,"Cuban")+COUNTIFS('SERVICE ENTRY'!$C$4:$C$1200,'County Report'!A92,'SERVICE ENTRY'!$F$4:$F$1200,"Dominican")+COUNTIFS('SERVICE ENTRY'!$C$4:$C$1200,'County Report'!A92,'SERVICE ENTRY'!$F$4:$F$1200,"Mexican/Mexican-American/Chicano")+COUNTIFS('SERVICE ENTRY'!$C$4:$C$1200,'County Report'!A92,'SERVICE ENTRY'!$F$4:$F$1200,"Puerto Rican")+COUNTIFS('SERVICE ENTRY'!$C$4:$C$1200,'County Report'!A92,'SERVICE ENTRY'!$F$4:$F$1200,"Salvadoran")+COUNTIFS('SERVICE ENTRY'!$C$4:$C$1200,'County Report'!A92,'SERVICE ENTRY'!$F$4:$F$1200,"Other Hispanic/Latino/Spanish origin")</f>
        <v>0</v>
      </c>
      <c r="K92" s="91">
        <f>COUNTIFS('SERVICE ENTRY'!$C$4:$C$1200,'County Report'!A92,'SERVICE ENTRY'!$F$4:$F$1200,"Not of Hispanic/Latino/Spanish origin")</f>
        <v>0</v>
      </c>
      <c r="L92" s="247">
        <f>COUNTIFS('SERVICE ENTRY'!$C$4:$C$1200,'County Report'!A92,'SERVICE ENTRY'!$F$4:$F$1200,"Unknown or Other")</f>
        <v>0</v>
      </c>
    </row>
    <row r="93" spans="1:12" x14ac:dyDescent="0.25">
      <c r="A93" s="167" t="s">
        <v>645</v>
      </c>
      <c r="B93" s="126">
        <f>COUNTIF('SERVICE ENTRY'!$C$4:$C$1200,'County Report'!A93)</f>
        <v>0</v>
      </c>
      <c r="C93" s="124">
        <f>COUNTIFS('SERVICE ENTRY'!$C$4:$C$1200,'County Report'!A93,'SERVICE ENTRY'!$G$4:$G$1200,"American Indian or Alaska Native")</f>
        <v>0</v>
      </c>
      <c r="D93" s="91">
        <f>COUNTIFS('SERVICE ENTRY'!$C$4:$C$1200,'County Report'!A93,'SERVICE ENTRY'!$G$4:$G$1200,"Asian")</f>
        <v>0</v>
      </c>
      <c r="E93" s="91">
        <f>COUNTIFS('SERVICE ENTRY'!$C$4:$C$1200,'County Report'!A93,'SERVICE ENTRY'!$G$4:$G$1200,"Black/African-American")</f>
        <v>0</v>
      </c>
      <c r="F93" s="91">
        <f>COUNTIFS('SERVICE ENTRY'!$C$4:$C$1200,'County Report'!A93,'SERVICE ENTRY'!$G$4:$G$1200,"Middle Eastern or North African")</f>
        <v>0</v>
      </c>
      <c r="G93" s="105">
        <f>COUNTIFS('SERVICE ENTRY'!$C$4:$C$1200,'County Report'!A93,'SERVICE ENTRY'!$G$4:$G$1200,"Native Hawaiian or Pacific Islander")</f>
        <v>0</v>
      </c>
      <c r="H93" s="91">
        <f>COUNTIFS('SERVICE ENTRY'!$C$4:$C$1200,'County Report'!A93,'SERVICE ENTRY'!$G$4:$G$1200,"White")</f>
        <v>0</v>
      </c>
      <c r="I93" s="105">
        <f>COUNTIFS('SERVICE ENTRY'!$C$4:$C$1200,'County Report'!A93,'SERVICE ENTRY'!$G$4:$G$1200,"Unknown or Other")</f>
        <v>0</v>
      </c>
      <c r="J93" s="214">
        <f>COUNTIFS('SERVICE ENTRY'!$C$4:$C$1200,'County Report'!A93,'SERVICE ENTRY'!$F$4:$F$1200,"Colombian")+COUNTIFS('SERVICE ENTRY'!$C$4:$C$1200,'County Report'!A93,'SERVICE ENTRY'!$F$4:$F$1200,"Cuban")+COUNTIFS('SERVICE ENTRY'!$C$4:$C$1200,'County Report'!A93,'SERVICE ENTRY'!$F$4:$F$1200,"Dominican")+COUNTIFS('SERVICE ENTRY'!$C$4:$C$1200,'County Report'!A93,'SERVICE ENTRY'!$F$4:$F$1200,"Mexican/Mexican-American/Chicano")+COUNTIFS('SERVICE ENTRY'!$C$4:$C$1200,'County Report'!A93,'SERVICE ENTRY'!$F$4:$F$1200,"Puerto Rican")+COUNTIFS('SERVICE ENTRY'!$C$4:$C$1200,'County Report'!A93,'SERVICE ENTRY'!$F$4:$F$1200,"Salvadoran")+COUNTIFS('SERVICE ENTRY'!$C$4:$C$1200,'County Report'!A93,'SERVICE ENTRY'!$F$4:$F$1200,"Other Hispanic/Latino/Spanish origin")</f>
        <v>0</v>
      </c>
      <c r="K93" s="91">
        <f>COUNTIFS('SERVICE ENTRY'!$C$4:$C$1200,'County Report'!A93,'SERVICE ENTRY'!$F$4:$F$1200,"Not of Hispanic/Latino/Spanish origin")</f>
        <v>0</v>
      </c>
      <c r="L93" s="247">
        <f>COUNTIFS('SERVICE ENTRY'!$C$4:$C$1200,'County Report'!A93,'SERVICE ENTRY'!$F$4:$F$1200,"Unknown or Other")</f>
        <v>0</v>
      </c>
    </row>
    <row r="94" spans="1:12" x14ac:dyDescent="0.25">
      <c r="A94" s="167" t="s">
        <v>646</v>
      </c>
      <c r="B94" s="126">
        <f>COUNTIF('SERVICE ENTRY'!$C$4:$C$1200,'County Report'!A94)</f>
        <v>0</v>
      </c>
      <c r="C94" s="124">
        <f>COUNTIFS('SERVICE ENTRY'!$C$4:$C$1200,'County Report'!A94,'SERVICE ENTRY'!$G$4:$G$1200,"American Indian or Alaska Native")</f>
        <v>0</v>
      </c>
      <c r="D94" s="91">
        <f>COUNTIFS('SERVICE ENTRY'!$C$4:$C$1200,'County Report'!A94,'SERVICE ENTRY'!$G$4:$G$1200,"Asian")</f>
        <v>0</v>
      </c>
      <c r="E94" s="91">
        <f>COUNTIFS('SERVICE ENTRY'!$C$4:$C$1200,'County Report'!A94,'SERVICE ENTRY'!$G$4:$G$1200,"Black/African-American")</f>
        <v>0</v>
      </c>
      <c r="F94" s="91">
        <f>COUNTIFS('SERVICE ENTRY'!$C$4:$C$1200,'County Report'!A94,'SERVICE ENTRY'!$G$4:$G$1200,"Middle Eastern or North African")</f>
        <v>0</v>
      </c>
      <c r="G94" s="105">
        <f>COUNTIFS('SERVICE ENTRY'!$C$4:$C$1200,'County Report'!A94,'SERVICE ENTRY'!$G$4:$G$1200,"Native Hawaiian or Pacific Islander")</f>
        <v>0</v>
      </c>
      <c r="H94" s="91">
        <f>COUNTIFS('SERVICE ENTRY'!$C$4:$C$1200,'County Report'!A94,'SERVICE ENTRY'!$G$4:$G$1200,"White")</f>
        <v>0</v>
      </c>
      <c r="I94" s="105">
        <f>COUNTIFS('SERVICE ENTRY'!$C$4:$C$1200,'County Report'!A94,'SERVICE ENTRY'!$G$4:$G$1200,"Unknown or Other")</f>
        <v>0</v>
      </c>
      <c r="J94" s="214">
        <f>COUNTIFS('SERVICE ENTRY'!$C$4:$C$1200,'County Report'!A94,'SERVICE ENTRY'!$F$4:$F$1200,"Colombian")+COUNTIFS('SERVICE ENTRY'!$C$4:$C$1200,'County Report'!A94,'SERVICE ENTRY'!$F$4:$F$1200,"Cuban")+COUNTIFS('SERVICE ENTRY'!$C$4:$C$1200,'County Report'!A94,'SERVICE ENTRY'!$F$4:$F$1200,"Dominican")+COUNTIFS('SERVICE ENTRY'!$C$4:$C$1200,'County Report'!A94,'SERVICE ENTRY'!$F$4:$F$1200,"Mexican/Mexican-American/Chicano")+COUNTIFS('SERVICE ENTRY'!$C$4:$C$1200,'County Report'!A94,'SERVICE ENTRY'!$F$4:$F$1200,"Puerto Rican")+COUNTIFS('SERVICE ENTRY'!$C$4:$C$1200,'County Report'!A94,'SERVICE ENTRY'!$F$4:$F$1200,"Salvadoran")+COUNTIFS('SERVICE ENTRY'!$C$4:$C$1200,'County Report'!A94,'SERVICE ENTRY'!$F$4:$F$1200,"Other Hispanic/Latino/Spanish origin")</f>
        <v>0</v>
      </c>
      <c r="K94" s="91">
        <f>COUNTIFS('SERVICE ENTRY'!$C$4:$C$1200,'County Report'!A94,'SERVICE ENTRY'!$F$4:$F$1200,"Not of Hispanic/Latino/Spanish origin")</f>
        <v>0</v>
      </c>
      <c r="L94" s="247">
        <f>COUNTIFS('SERVICE ENTRY'!$C$4:$C$1200,'County Report'!A94,'SERVICE ENTRY'!$F$4:$F$1200,"Unknown or Other")</f>
        <v>0</v>
      </c>
    </row>
    <row r="95" spans="1:12" x14ac:dyDescent="0.25">
      <c r="A95" s="167" t="s">
        <v>647</v>
      </c>
      <c r="B95" s="126">
        <f>COUNTIF('SERVICE ENTRY'!$C$4:$C$1200,'County Report'!A95)</f>
        <v>0</v>
      </c>
      <c r="C95" s="124">
        <f>COUNTIFS('SERVICE ENTRY'!$C$4:$C$1200,'County Report'!A95,'SERVICE ENTRY'!$G$4:$G$1200,"American Indian or Alaska Native")</f>
        <v>0</v>
      </c>
      <c r="D95" s="91">
        <f>COUNTIFS('SERVICE ENTRY'!$C$4:$C$1200,'County Report'!A95,'SERVICE ENTRY'!$G$4:$G$1200,"Asian")</f>
        <v>0</v>
      </c>
      <c r="E95" s="91">
        <f>COUNTIFS('SERVICE ENTRY'!$C$4:$C$1200,'County Report'!A95,'SERVICE ENTRY'!$G$4:$G$1200,"Black/African-American")</f>
        <v>0</v>
      </c>
      <c r="F95" s="91">
        <f>COUNTIFS('SERVICE ENTRY'!$C$4:$C$1200,'County Report'!A95,'SERVICE ENTRY'!$G$4:$G$1200,"Middle Eastern or North African")</f>
        <v>0</v>
      </c>
      <c r="G95" s="105">
        <f>COUNTIFS('SERVICE ENTRY'!$C$4:$C$1200,'County Report'!A95,'SERVICE ENTRY'!$G$4:$G$1200,"Native Hawaiian or Pacific Islander")</f>
        <v>0</v>
      </c>
      <c r="H95" s="91">
        <f>COUNTIFS('SERVICE ENTRY'!$C$4:$C$1200,'County Report'!A95,'SERVICE ENTRY'!$G$4:$G$1200,"White")</f>
        <v>0</v>
      </c>
      <c r="I95" s="105">
        <f>COUNTIFS('SERVICE ENTRY'!$C$4:$C$1200,'County Report'!A95,'SERVICE ENTRY'!$G$4:$G$1200,"Unknown or Other")</f>
        <v>0</v>
      </c>
      <c r="J95" s="214">
        <f>COUNTIFS('SERVICE ENTRY'!$C$4:$C$1200,'County Report'!A95,'SERVICE ENTRY'!$F$4:$F$1200,"Colombian")+COUNTIFS('SERVICE ENTRY'!$C$4:$C$1200,'County Report'!A95,'SERVICE ENTRY'!$F$4:$F$1200,"Cuban")+COUNTIFS('SERVICE ENTRY'!$C$4:$C$1200,'County Report'!A95,'SERVICE ENTRY'!$F$4:$F$1200,"Dominican")+COUNTIFS('SERVICE ENTRY'!$C$4:$C$1200,'County Report'!A95,'SERVICE ENTRY'!$F$4:$F$1200,"Mexican/Mexican-American/Chicano")+COUNTIFS('SERVICE ENTRY'!$C$4:$C$1200,'County Report'!A95,'SERVICE ENTRY'!$F$4:$F$1200,"Puerto Rican")+COUNTIFS('SERVICE ENTRY'!$C$4:$C$1200,'County Report'!A95,'SERVICE ENTRY'!$F$4:$F$1200,"Salvadoran")+COUNTIFS('SERVICE ENTRY'!$C$4:$C$1200,'County Report'!A95,'SERVICE ENTRY'!$F$4:$F$1200,"Other Hispanic/Latino/Spanish origin")</f>
        <v>0</v>
      </c>
      <c r="K95" s="91">
        <f>COUNTIFS('SERVICE ENTRY'!$C$4:$C$1200,'County Report'!A95,'SERVICE ENTRY'!$F$4:$F$1200,"Not of Hispanic/Latino/Spanish origin")</f>
        <v>0</v>
      </c>
      <c r="L95" s="247">
        <f>COUNTIFS('SERVICE ENTRY'!$C$4:$C$1200,'County Report'!A95,'SERVICE ENTRY'!$F$4:$F$1200,"Unknown or Other")</f>
        <v>0</v>
      </c>
    </row>
    <row r="96" spans="1:12" x14ac:dyDescent="0.25">
      <c r="A96" s="167" t="s">
        <v>648</v>
      </c>
      <c r="B96" s="126">
        <f>COUNTIF('SERVICE ENTRY'!$C$4:$C$1200,'County Report'!A96)</f>
        <v>0</v>
      </c>
      <c r="C96" s="124">
        <f>COUNTIFS('SERVICE ENTRY'!$C$4:$C$1200,'County Report'!A96,'SERVICE ENTRY'!$G$4:$G$1200,"American Indian or Alaska Native")</f>
        <v>0</v>
      </c>
      <c r="D96" s="91">
        <f>COUNTIFS('SERVICE ENTRY'!$C$4:$C$1200,'County Report'!A96,'SERVICE ENTRY'!$G$4:$G$1200,"Asian")</f>
        <v>0</v>
      </c>
      <c r="E96" s="91">
        <f>COUNTIFS('SERVICE ENTRY'!$C$4:$C$1200,'County Report'!A96,'SERVICE ENTRY'!$G$4:$G$1200,"Black/African-American")</f>
        <v>0</v>
      </c>
      <c r="F96" s="91">
        <f>COUNTIFS('SERVICE ENTRY'!$C$4:$C$1200,'County Report'!A96,'SERVICE ENTRY'!$G$4:$G$1200,"Middle Eastern or North African")</f>
        <v>0</v>
      </c>
      <c r="G96" s="105">
        <f>COUNTIFS('SERVICE ENTRY'!$C$4:$C$1200,'County Report'!A96,'SERVICE ENTRY'!$G$4:$G$1200,"Native Hawaiian or Pacific Islander")</f>
        <v>0</v>
      </c>
      <c r="H96" s="91">
        <f>COUNTIFS('SERVICE ENTRY'!$C$4:$C$1200,'County Report'!A96,'SERVICE ENTRY'!$G$4:$G$1200,"White")</f>
        <v>0</v>
      </c>
      <c r="I96" s="105">
        <f>COUNTIFS('SERVICE ENTRY'!$C$4:$C$1200,'County Report'!A96,'SERVICE ENTRY'!$G$4:$G$1200,"Unknown or Other")</f>
        <v>0</v>
      </c>
      <c r="J96" s="214">
        <f>COUNTIFS('SERVICE ENTRY'!$C$4:$C$1200,'County Report'!A96,'SERVICE ENTRY'!$F$4:$F$1200,"Colombian")+COUNTIFS('SERVICE ENTRY'!$C$4:$C$1200,'County Report'!A96,'SERVICE ENTRY'!$F$4:$F$1200,"Cuban")+COUNTIFS('SERVICE ENTRY'!$C$4:$C$1200,'County Report'!A96,'SERVICE ENTRY'!$F$4:$F$1200,"Dominican")+COUNTIFS('SERVICE ENTRY'!$C$4:$C$1200,'County Report'!A96,'SERVICE ENTRY'!$F$4:$F$1200,"Mexican/Mexican-American/Chicano")+COUNTIFS('SERVICE ENTRY'!$C$4:$C$1200,'County Report'!A96,'SERVICE ENTRY'!$F$4:$F$1200,"Puerto Rican")+COUNTIFS('SERVICE ENTRY'!$C$4:$C$1200,'County Report'!A96,'SERVICE ENTRY'!$F$4:$F$1200,"Salvadoran")+COUNTIFS('SERVICE ENTRY'!$C$4:$C$1200,'County Report'!A96,'SERVICE ENTRY'!$F$4:$F$1200,"Other Hispanic/Latino/Spanish origin")</f>
        <v>0</v>
      </c>
      <c r="K96" s="91">
        <f>COUNTIFS('SERVICE ENTRY'!$C$4:$C$1200,'County Report'!A96,'SERVICE ENTRY'!$F$4:$F$1200,"Not of Hispanic/Latino/Spanish origin")</f>
        <v>0</v>
      </c>
      <c r="L96" s="247">
        <f>COUNTIFS('SERVICE ENTRY'!$C$4:$C$1200,'County Report'!A96,'SERVICE ENTRY'!$F$4:$F$1200,"Unknown or Other")</f>
        <v>0</v>
      </c>
    </row>
    <row r="97" spans="1:12" x14ac:dyDescent="0.25">
      <c r="A97" s="167" t="s">
        <v>649</v>
      </c>
      <c r="B97" s="126">
        <f>COUNTIF('SERVICE ENTRY'!$C$4:$C$1200,'County Report'!A97)</f>
        <v>0</v>
      </c>
      <c r="C97" s="124">
        <f>COUNTIFS('SERVICE ENTRY'!$C$4:$C$1200,'County Report'!A97,'SERVICE ENTRY'!$G$4:$G$1200,"American Indian or Alaska Native")</f>
        <v>0</v>
      </c>
      <c r="D97" s="91">
        <f>COUNTIFS('SERVICE ENTRY'!$C$4:$C$1200,'County Report'!A97,'SERVICE ENTRY'!$G$4:$G$1200,"Asian")</f>
        <v>0</v>
      </c>
      <c r="E97" s="91">
        <f>COUNTIFS('SERVICE ENTRY'!$C$4:$C$1200,'County Report'!A97,'SERVICE ENTRY'!$G$4:$G$1200,"Black/African-American")</f>
        <v>0</v>
      </c>
      <c r="F97" s="91">
        <f>COUNTIFS('SERVICE ENTRY'!$C$4:$C$1200,'County Report'!A97,'SERVICE ENTRY'!$G$4:$G$1200,"Middle Eastern or North African")</f>
        <v>0</v>
      </c>
      <c r="G97" s="105">
        <f>COUNTIFS('SERVICE ENTRY'!$C$4:$C$1200,'County Report'!A97,'SERVICE ENTRY'!$G$4:$G$1200,"Native Hawaiian or Pacific Islander")</f>
        <v>0</v>
      </c>
      <c r="H97" s="91">
        <f>COUNTIFS('SERVICE ENTRY'!$C$4:$C$1200,'County Report'!A97,'SERVICE ENTRY'!$G$4:$G$1200,"White")</f>
        <v>0</v>
      </c>
      <c r="I97" s="105">
        <f>COUNTIFS('SERVICE ENTRY'!$C$4:$C$1200,'County Report'!A97,'SERVICE ENTRY'!$G$4:$G$1200,"Unknown or Other")</f>
        <v>0</v>
      </c>
      <c r="J97" s="214">
        <f>COUNTIFS('SERVICE ENTRY'!$C$4:$C$1200,'County Report'!A97,'SERVICE ENTRY'!$F$4:$F$1200,"Colombian")+COUNTIFS('SERVICE ENTRY'!$C$4:$C$1200,'County Report'!A97,'SERVICE ENTRY'!$F$4:$F$1200,"Cuban")+COUNTIFS('SERVICE ENTRY'!$C$4:$C$1200,'County Report'!A97,'SERVICE ENTRY'!$F$4:$F$1200,"Dominican")+COUNTIFS('SERVICE ENTRY'!$C$4:$C$1200,'County Report'!A97,'SERVICE ENTRY'!$F$4:$F$1200,"Mexican/Mexican-American/Chicano")+COUNTIFS('SERVICE ENTRY'!$C$4:$C$1200,'County Report'!A97,'SERVICE ENTRY'!$F$4:$F$1200,"Puerto Rican")+COUNTIFS('SERVICE ENTRY'!$C$4:$C$1200,'County Report'!A97,'SERVICE ENTRY'!$F$4:$F$1200,"Salvadoran")+COUNTIFS('SERVICE ENTRY'!$C$4:$C$1200,'County Report'!A97,'SERVICE ENTRY'!$F$4:$F$1200,"Other Hispanic/Latino/Spanish origin")</f>
        <v>0</v>
      </c>
      <c r="K97" s="91">
        <f>COUNTIFS('SERVICE ENTRY'!$C$4:$C$1200,'County Report'!A97,'SERVICE ENTRY'!$F$4:$F$1200,"Not of Hispanic/Latino/Spanish origin")</f>
        <v>0</v>
      </c>
      <c r="L97" s="247">
        <f>COUNTIFS('SERVICE ENTRY'!$C$4:$C$1200,'County Report'!A97,'SERVICE ENTRY'!$F$4:$F$1200,"Unknown or Other")</f>
        <v>0</v>
      </c>
    </row>
    <row r="98" spans="1:12" x14ac:dyDescent="0.25">
      <c r="A98" s="167" t="s">
        <v>650</v>
      </c>
      <c r="B98" s="126">
        <f>COUNTIF('SERVICE ENTRY'!$C$4:$C$1200,'County Report'!A98)</f>
        <v>0</v>
      </c>
      <c r="C98" s="124">
        <f>COUNTIFS('SERVICE ENTRY'!$C$4:$C$1200,'County Report'!A98,'SERVICE ENTRY'!$G$4:$G$1200,"American Indian or Alaska Native")</f>
        <v>0</v>
      </c>
      <c r="D98" s="91">
        <f>COUNTIFS('SERVICE ENTRY'!$C$4:$C$1200,'County Report'!A98,'SERVICE ENTRY'!$G$4:$G$1200,"Asian")</f>
        <v>0</v>
      </c>
      <c r="E98" s="91">
        <f>COUNTIFS('SERVICE ENTRY'!$C$4:$C$1200,'County Report'!A98,'SERVICE ENTRY'!$G$4:$G$1200,"Black/African-American")</f>
        <v>0</v>
      </c>
      <c r="F98" s="91">
        <f>COUNTIFS('SERVICE ENTRY'!$C$4:$C$1200,'County Report'!A98,'SERVICE ENTRY'!$G$4:$G$1200,"Middle Eastern or North African")</f>
        <v>0</v>
      </c>
      <c r="G98" s="105">
        <f>COUNTIFS('SERVICE ENTRY'!$C$4:$C$1200,'County Report'!A98,'SERVICE ENTRY'!$G$4:$G$1200,"Native Hawaiian or Pacific Islander")</f>
        <v>0</v>
      </c>
      <c r="H98" s="91">
        <f>COUNTIFS('SERVICE ENTRY'!$C$4:$C$1200,'County Report'!A98,'SERVICE ENTRY'!$G$4:$G$1200,"White")</f>
        <v>0</v>
      </c>
      <c r="I98" s="105">
        <f>COUNTIFS('SERVICE ENTRY'!$C$4:$C$1200,'County Report'!A98,'SERVICE ENTRY'!$G$4:$G$1200,"Unknown or Other")</f>
        <v>0</v>
      </c>
      <c r="J98" s="214">
        <f>COUNTIFS('SERVICE ENTRY'!$C$4:$C$1200,'County Report'!A98,'SERVICE ENTRY'!$F$4:$F$1200,"Colombian")+COUNTIFS('SERVICE ENTRY'!$C$4:$C$1200,'County Report'!A98,'SERVICE ENTRY'!$F$4:$F$1200,"Cuban")+COUNTIFS('SERVICE ENTRY'!$C$4:$C$1200,'County Report'!A98,'SERVICE ENTRY'!$F$4:$F$1200,"Dominican")+COUNTIFS('SERVICE ENTRY'!$C$4:$C$1200,'County Report'!A98,'SERVICE ENTRY'!$F$4:$F$1200,"Mexican/Mexican-American/Chicano")+COUNTIFS('SERVICE ENTRY'!$C$4:$C$1200,'County Report'!A98,'SERVICE ENTRY'!$F$4:$F$1200,"Puerto Rican")+COUNTIFS('SERVICE ENTRY'!$C$4:$C$1200,'County Report'!A98,'SERVICE ENTRY'!$F$4:$F$1200,"Salvadoran")+COUNTIFS('SERVICE ENTRY'!$C$4:$C$1200,'County Report'!A98,'SERVICE ENTRY'!$F$4:$F$1200,"Other Hispanic/Latino/Spanish origin")</f>
        <v>0</v>
      </c>
      <c r="K98" s="91">
        <f>COUNTIFS('SERVICE ENTRY'!$C$4:$C$1200,'County Report'!A98,'SERVICE ENTRY'!$F$4:$F$1200,"Not of Hispanic/Latino/Spanish origin")</f>
        <v>0</v>
      </c>
      <c r="L98" s="247">
        <f>COUNTIFS('SERVICE ENTRY'!$C$4:$C$1200,'County Report'!A98,'SERVICE ENTRY'!$F$4:$F$1200,"Unknown or Other")</f>
        <v>0</v>
      </c>
    </row>
    <row r="99" spans="1:12" x14ac:dyDescent="0.25">
      <c r="A99" s="167" t="s">
        <v>651</v>
      </c>
      <c r="B99" s="126">
        <f>COUNTIF('SERVICE ENTRY'!$C$4:$C$1200,'County Report'!A99)</f>
        <v>0</v>
      </c>
      <c r="C99" s="124">
        <f>COUNTIFS('SERVICE ENTRY'!$C$4:$C$1200,'County Report'!A99,'SERVICE ENTRY'!$G$4:$G$1200,"American Indian or Alaska Native")</f>
        <v>0</v>
      </c>
      <c r="D99" s="91">
        <f>COUNTIFS('SERVICE ENTRY'!$C$4:$C$1200,'County Report'!A99,'SERVICE ENTRY'!$G$4:$G$1200,"Asian")</f>
        <v>0</v>
      </c>
      <c r="E99" s="91">
        <f>COUNTIFS('SERVICE ENTRY'!$C$4:$C$1200,'County Report'!A99,'SERVICE ENTRY'!$G$4:$G$1200,"Black/African-American")</f>
        <v>0</v>
      </c>
      <c r="F99" s="91">
        <f>COUNTIFS('SERVICE ENTRY'!$C$4:$C$1200,'County Report'!A99,'SERVICE ENTRY'!$G$4:$G$1200,"Middle Eastern or North African")</f>
        <v>0</v>
      </c>
      <c r="G99" s="105">
        <f>COUNTIFS('SERVICE ENTRY'!$C$4:$C$1200,'County Report'!A99,'SERVICE ENTRY'!$G$4:$G$1200,"Native Hawaiian or Pacific Islander")</f>
        <v>0</v>
      </c>
      <c r="H99" s="91">
        <f>COUNTIFS('SERVICE ENTRY'!$C$4:$C$1200,'County Report'!A99,'SERVICE ENTRY'!$G$4:$G$1200,"White")</f>
        <v>0</v>
      </c>
      <c r="I99" s="105">
        <f>COUNTIFS('SERVICE ENTRY'!$C$4:$C$1200,'County Report'!A99,'SERVICE ENTRY'!$G$4:$G$1200,"Unknown or Other")</f>
        <v>0</v>
      </c>
      <c r="J99" s="214">
        <f>COUNTIFS('SERVICE ENTRY'!$C$4:$C$1200,'County Report'!A99,'SERVICE ENTRY'!$F$4:$F$1200,"Colombian")+COUNTIFS('SERVICE ENTRY'!$C$4:$C$1200,'County Report'!A99,'SERVICE ENTRY'!$F$4:$F$1200,"Cuban")+COUNTIFS('SERVICE ENTRY'!$C$4:$C$1200,'County Report'!A99,'SERVICE ENTRY'!$F$4:$F$1200,"Dominican")+COUNTIFS('SERVICE ENTRY'!$C$4:$C$1200,'County Report'!A99,'SERVICE ENTRY'!$F$4:$F$1200,"Mexican/Mexican-American/Chicano")+COUNTIFS('SERVICE ENTRY'!$C$4:$C$1200,'County Report'!A99,'SERVICE ENTRY'!$F$4:$F$1200,"Puerto Rican")+COUNTIFS('SERVICE ENTRY'!$C$4:$C$1200,'County Report'!A99,'SERVICE ENTRY'!$F$4:$F$1200,"Salvadoran")+COUNTIFS('SERVICE ENTRY'!$C$4:$C$1200,'County Report'!A99,'SERVICE ENTRY'!$F$4:$F$1200,"Other Hispanic/Latino/Spanish origin")</f>
        <v>0</v>
      </c>
      <c r="K99" s="91">
        <f>COUNTIFS('SERVICE ENTRY'!$C$4:$C$1200,'County Report'!A99,'SERVICE ENTRY'!$F$4:$F$1200,"Not of Hispanic/Latino/Spanish origin")</f>
        <v>0</v>
      </c>
      <c r="L99" s="247">
        <f>COUNTIFS('SERVICE ENTRY'!$C$4:$C$1200,'County Report'!A99,'SERVICE ENTRY'!$F$4:$F$1200,"Unknown or Other")</f>
        <v>0</v>
      </c>
    </row>
    <row r="100" spans="1:12" x14ac:dyDescent="0.25">
      <c r="A100" s="167" t="s">
        <v>652</v>
      </c>
      <c r="B100" s="126">
        <f>COUNTIF('SERVICE ENTRY'!$C$4:$C$1200,'County Report'!A100)</f>
        <v>0</v>
      </c>
      <c r="C100" s="124">
        <f>COUNTIFS('SERVICE ENTRY'!$C$4:$C$1200,'County Report'!A100,'SERVICE ENTRY'!$G$4:$G$1200,"American Indian or Alaska Native")</f>
        <v>0</v>
      </c>
      <c r="D100" s="91">
        <f>COUNTIFS('SERVICE ENTRY'!$C$4:$C$1200,'County Report'!A100,'SERVICE ENTRY'!$G$4:$G$1200,"Asian")</f>
        <v>0</v>
      </c>
      <c r="E100" s="91">
        <f>COUNTIFS('SERVICE ENTRY'!$C$4:$C$1200,'County Report'!A100,'SERVICE ENTRY'!$G$4:$G$1200,"Black/African-American")</f>
        <v>0</v>
      </c>
      <c r="F100" s="91">
        <f>COUNTIFS('SERVICE ENTRY'!$C$4:$C$1200,'County Report'!A100,'SERVICE ENTRY'!$G$4:$G$1200,"Middle Eastern or North African")</f>
        <v>0</v>
      </c>
      <c r="G100" s="105">
        <f>COUNTIFS('SERVICE ENTRY'!$C$4:$C$1200,'County Report'!A100,'SERVICE ENTRY'!$G$4:$G$1200,"Native Hawaiian or Pacific Islander")</f>
        <v>0</v>
      </c>
      <c r="H100" s="91">
        <f>COUNTIFS('SERVICE ENTRY'!$C$4:$C$1200,'County Report'!A100,'SERVICE ENTRY'!$G$4:$G$1200,"White")</f>
        <v>0</v>
      </c>
      <c r="I100" s="105">
        <f>COUNTIFS('SERVICE ENTRY'!$C$4:$C$1200,'County Report'!A100,'SERVICE ENTRY'!$G$4:$G$1200,"Unknown or Other")</f>
        <v>0</v>
      </c>
      <c r="J100" s="214">
        <f>COUNTIFS('SERVICE ENTRY'!$C$4:$C$1200,'County Report'!A100,'SERVICE ENTRY'!$F$4:$F$1200,"Colombian")+COUNTIFS('SERVICE ENTRY'!$C$4:$C$1200,'County Report'!A100,'SERVICE ENTRY'!$F$4:$F$1200,"Cuban")+COUNTIFS('SERVICE ENTRY'!$C$4:$C$1200,'County Report'!A100,'SERVICE ENTRY'!$F$4:$F$1200,"Dominican")+COUNTIFS('SERVICE ENTRY'!$C$4:$C$1200,'County Report'!A100,'SERVICE ENTRY'!$F$4:$F$1200,"Mexican/Mexican-American/Chicano")+COUNTIFS('SERVICE ENTRY'!$C$4:$C$1200,'County Report'!A100,'SERVICE ENTRY'!$F$4:$F$1200,"Puerto Rican")+COUNTIFS('SERVICE ENTRY'!$C$4:$C$1200,'County Report'!A100,'SERVICE ENTRY'!$F$4:$F$1200,"Salvadoran")+COUNTIFS('SERVICE ENTRY'!$C$4:$C$1200,'County Report'!A100,'SERVICE ENTRY'!$F$4:$F$1200,"Other Hispanic/Latino/Spanish origin")</f>
        <v>0</v>
      </c>
      <c r="K100" s="91">
        <f>COUNTIFS('SERVICE ENTRY'!$C$4:$C$1200,'County Report'!A100,'SERVICE ENTRY'!$F$4:$F$1200,"Not of Hispanic/Latino/Spanish origin")</f>
        <v>0</v>
      </c>
      <c r="L100" s="247">
        <f>COUNTIFS('SERVICE ENTRY'!$C$4:$C$1200,'County Report'!A100,'SERVICE ENTRY'!$F$4:$F$1200,"Unknown or Other")</f>
        <v>0</v>
      </c>
    </row>
    <row r="101" spans="1:12" x14ac:dyDescent="0.25">
      <c r="A101" s="167" t="s">
        <v>653</v>
      </c>
      <c r="B101" s="126">
        <f>COUNTIF('SERVICE ENTRY'!$C$4:$C$1200,'County Report'!A101)</f>
        <v>0</v>
      </c>
      <c r="C101" s="124">
        <f>COUNTIFS('SERVICE ENTRY'!$C$4:$C$1200,'County Report'!A101,'SERVICE ENTRY'!$G$4:$G$1200,"American Indian or Alaska Native")</f>
        <v>0</v>
      </c>
      <c r="D101" s="91">
        <f>COUNTIFS('SERVICE ENTRY'!$C$4:$C$1200,'County Report'!A101,'SERVICE ENTRY'!$G$4:$G$1200,"Asian")</f>
        <v>0</v>
      </c>
      <c r="E101" s="91">
        <f>COUNTIFS('SERVICE ENTRY'!$C$4:$C$1200,'County Report'!A101,'SERVICE ENTRY'!$G$4:$G$1200,"Black/African-American")</f>
        <v>0</v>
      </c>
      <c r="F101" s="91">
        <f>COUNTIFS('SERVICE ENTRY'!$C$4:$C$1200,'County Report'!A101,'SERVICE ENTRY'!$G$4:$G$1200,"Middle Eastern or North African")</f>
        <v>0</v>
      </c>
      <c r="G101" s="105">
        <f>COUNTIFS('SERVICE ENTRY'!$C$4:$C$1200,'County Report'!A101,'SERVICE ENTRY'!$G$4:$G$1200,"Native Hawaiian or Pacific Islander")</f>
        <v>0</v>
      </c>
      <c r="H101" s="91">
        <f>COUNTIFS('SERVICE ENTRY'!$C$4:$C$1200,'County Report'!A101,'SERVICE ENTRY'!$G$4:$G$1200,"White")</f>
        <v>0</v>
      </c>
      <c r="I101" s="105">
        <f>COUNTIFS('SERVICE ENTRY'!$C$4:$C$1200,'County Report'!A101,'SERVICE ENTRY'!$G$4:$G$1200,"Unknown or Other")</f>
        <v>0</v>
      </c>
      <c r="J101" s="214">
        <f>COUNTIFS('SERVICE ENTRY'!$C$4:$C$1200,'County Report'!A101,'SERVICE ENTRY'!$F$4:$F$1200,"Colombian")+COUNTIFS('SERVICE ENTRY'!$C$4:$C$1200,'County Report'!A101,'SERVICE ENTRY'!$F$4:$F$1200,"Cuban")+COUNTIFS('SERVICE ENTRY'!$C$4:$C$1200,'County Report'!A101,'SERVICE ENTRY'!$F$4:$F$1200,"Dominican")+COUNTIFS('SERVICE ENTRY'!$C$4:$C$1200,'County Report'!A101,'SERVICE ENTRY'!$F$4:$F$1200,"Mexican/Mexican-American/Chicano")+COUNTIFS('SERVICE ENTRY'!$C$4:$C$1200,'County Report'!A101,'SERVICE ENTRY'!$F$4:$F$1200,"Puerto Rican")+COUNTIFS('SERVICE ENTRY'!$C$4:$C$1200,'County Report'!A101,'SERVICE ENTRY'!$F$4:$F$1200,"Salvadoran")+COUNTIFS('SERVICE ENTRY'!$C$4:$C$1200,'County Report'!A101,'SERVICE ENTRY'!$F$4:$F$1200,"Other Hispanic/Latino/Spanish origin")</f>
        <v>0</v>
      </c>
      <c r="K101" s="91">
        <f>COUNTIFS('SERVICE ENTRY'!$C$4:$C$1200,'County Report'!A101,'SERVICE ENTRY'!$F$4:$F$1200,"Not of Hispanic/Latino/Spanish origin")</f>
        <v>0</v>
      </c>
      <c r="L101" s="247">
        <f>COUNTIFS('SERVICE ENTRY'!$C$4:$C$1200,'County Report'!A101,'SERVICE ENTRY'!$F$4:$F$1200,"Unknown or Other")</f>
        <v>0</v>
      </c>
    </row>
    <row r="102" spans="1:12" x14ac:dyDescent="0.25">
      <c r="A102" s="167" t="s">
        <v>654</v>
      </c>
      <c r="B102" s="126">
        <f>COUNTIF('SERVICE ENTRY'!$C$4:$C$1200,'County Report'!A102)</f>
        <v>0</v>
      </c>
      <c r="C102" s="124">
        <f>COUNTIFS('SERVICE ENTRY'!$C$4:$C$1200,'County Report'!A102,'SERVICE ENTRY'!$G$4:$G$1200,"American Indian or Alaska Native")</f>
        <v>0</v>
      </c>
      <c r="D102" s="91">
        <f>COUNTIFS('SERVICE ENTRY'!$C$4:$C$1200,'County Report'!A102,'SERVICE ENTRY'!$G$4:$G$1200,"Asian")</f>
        <v>0</v>
      </c>
      <c r="E102" s="91">
        <f>COUNTIFS('SERVICE ENTRY'!$C$4:$C$1200,'County Report'!A102,'SERVICE ENTRY'!$G$4:$G$1200,"Black/African-American")</f>
        <v>0</v>
      </c>
      <c r="F102" s="91">
        <f>COUNTIFS('SERVICE ENTRY'!$C$4:$C$1200,'County Report'!A102,'SERVICE ENTRY'!$G$4:$G$1200,"Middle Eastern or North African")</f>
        <v>0</v>
      </c>
      <c r="G102" s="105">
        <f>COUNTIFS('SERVICE ENTRY'!$C$4:$C$1200,'County Report'!A102,'SERVICE ENTRY'!$G$4:$G$1200,"Native Hawaiian or Pacific Islander")</f>
        <v>0</v>
      </c>
      <c r="H102" s="91">
        <f>COUNTIFS('SERVICE ENTRY'!$C$4:$C$1200,'County Report'!A102,'SERVICE ENTRY'!$G$4:$G$1200,"White")</f>
        <v>0</v>
      </c>
      <c r="I102" s="105">
        <f>COUNTIFS('SERVICE ENTRY'!$C$4:$C$1200,'County Report'!A102,'SERVICE ENTRY'!$G$4:$G$1200,"Unknown or Other")</f>
        <v>0</v>
      </c>
      <c r="J102" s="214">
        <f>COUNTIFS('SERVICE ENTRY'!$C$4:$C$1200,'County Report'!A102,'SERVICE ENTRY'!$F$4:$F$1200,"Colombian")+COUNTIFS('SERVICE ENTRY'!$C$4:$C$1200,'County Report'!A102,'SERVICE ENTRY'!$F$4:$F$1200,"Cuban")+COUNTIFS('SERVICE ENTRY'!$C$4:$C$1200,'County Report'!A102,'SERVICE ENTRY'!$F$4:$F$1200,"Dominican")+COUNTIFS('SERVICE ENTRY'!$C$4:$C$1200,'County Report'!A102,'SERVICE ENTRY'!$F$4:$F$1200,"Mexican/Mexican-American/Chicano")+COUNTIFS('SERVICE ENTRY'!$C$4:$C$1200,'County Report'!A102,'SERVICE ENTRY'!$F$4:$F$1200,"Puerto Rican")+COUNTIFS('SERVICE ENTRY'!$C$4:$C$1200,'County Report'!A102,'SERVICE ENTRY'!$F$4:$F$1200,"Salvadoran")+COUNTIFS('SERVICE ENTRY'!$C$4:$C$1200,'County Report'!A102,'SERVICE ENTRY'!$F$4:$F$1200,"Other Hispanic/Latino/Spanish origin")</f>
        <v>0</v>
      </c>
      <c r="K102" s="91">
        <f>COUNTIFS('SERVICE ENTRY'!$C$4:$C$1200,'County Report'!A102,'SERVICE ENTRY'!$F$4:$F$1200,"Not of Hispanic/Latino/Spanish origin")</f>
        <v>0</v>
      </c>
      <c r="L102" s="247">
        <f>COUNTIFS('SERVICE ENTRY'!$C$4:$C$1200,'County Report'!A102,'SERVICE ENTRY'!$F$4:$F$1200,"Unknown or Other")</f>
        <v>0</v>
      </c>
    </row>
    <row r="103" spans="1:12" x14ac:dyDescent="0.25">
      <c r="A103" s="167" t="s">
        <v>655</v>
      </c>
      <c r="B103" s="126">
        <f>COUNTIF('SERVICE ENTRY'!$C$4:$C$1200,'County Report'!A103)</f>
        <v>0</v>
      </c>
      <c r="C103" s="124">
        <f>COUNTIFS('SERVICE ENTRY'!$C$4:$C$1200,'County Report'!A103,'SERVICE ENTRY'!$G$4:$G$1200,"American Indian or Alaska Native")</f>
        <v>0</v>
      </c>
      <c r="D103" s="91">
        <f>COUNTIFS('SERVICE ENTRY'!$C$4:$C$1200,'County Report'!A103,'SERVICE ENTRY'!$G$4:$G$1200,"Asian")</f>
        <v>0</v>
      </c>
      <c r="E103" s="91">
        <f>COUNTIFS('SERVICE ENTRY'!$C$4:$C$1200,'County Report'!A103,'SERVICE ENTRY'!$G$4:$G$1200,"Black/African-American")</f>
        <v>0</v>
      </c>
      <c r="F103" s="91">
        <f>COUNTIFS('SERVICE ENTRY'!$C$4:$C$1200,'County Report'!A103,'SERVICE ENTRY'!$G$4:$G$1200,"Middle Eastern or North African")</f>
        <v>0</v>
      </c>
      <c r="G103" s="105">
        <f>COUNTIFS('SERVICE ENTRY'!$C$4:$C$1200,'County Report'!A103,'SERVICE ENTRY'!$G$4:$G$1200,"Native Hawaiian or Pacific Islander")</f>
        <v>0</v>
      </c>
      <c r="H103" s="91">
        <f>COUNTIFS('SERVICE ENTRY'!$C$4:$C$1200,'County Report'!A103,'SERVICE ENTRY'!$G$4:$G$1200,"White")</f>
        <v>0</v>
      </c>
      <c r="I103" s="105">
        <f>COUNTIFS('SERVICE ENTRY'!$C$4:$C$1200,'County Report'!A103,'SERVICE ENTRY'!$G$4:$G$1200,"Unknown or Other")</f>
        <v>0</v>
      </c>
      <c r="J103" s="214">
        <f>COUNTIFS('SERVICE ENTRY'!$C$4:$C$1200,'County Report'!A103,'SERVICE ENTRY'!$F$4:$F$1200,"Colombian")+COUNTIFS('SERVICE ENTRY'!$C$4:$C$1200,'County Report'!A103,'SERVICE ENTRY'!$F$4:$F$1200,"Cuban")+COUNTIFS('SERVICE ENTRY'!$C$4:$C$1200,'County Report'!A103,'SERVICE ENTRY'!$F$4:$F$1200,"Dominican")+COUNTIFS('SERVICE ENTRY'!$C$4:$C$1200,'County Report'!A103,'SERVICE ENTRY'!$F$4:$F$1200,"Mexican/Mexican-American/Chicano")+COUNTIFS('SERVICE ENTRY'!$C$4:$C$1200,'County Report'!A103,'SERVICE ENTRY'!$F$4:$F$1200,"Puerto Rican")+COUNTIFS('SERVICE ENTRY'!$C$4:$C$1200,'County Report'!A103,'SERVICE ENTRY'!$F$4:$F$1200,"Salvadoran")+COUNTIFS('SERVICE ENTRY'!$C$4:$C$1200,'County Report'!A103,'SERVICE ENTRY'!$F$4:$F$1200,"Other Hispanic/Latino/Spanish origin")</f>
        <v>0</v>
      </c>
      <c r="K103" s="91">
        <f>COUNTIFS('SERVICE ENTRY'!$C$4:$C$1200,'County Report'!A103,'SERVICE ENTRY'!$F$4:$F$1200,"Not of Hispanic/Latino/Spanish origin")</f>
        <v>0</v>
      </c>
      <c r="L103" s="247">
        <f>COUNTIFS('SERVICE ENTRY'!$C$4:$C$1200,'County Report'!A103,'SERVICE ENTRY'!$F$4:$F$1200,"Unknown or Other")</f>
        <v>0</v>
      </c>
    </row>
    <row r="104" spans="1:12" x14ac:dyDescent="0.25">
      <c r="A104" s="167" t="s">
        <v>656</v>
      </c>
      <c r="B104" s="126">
        <f>COUNTIF('SERVICE ENTRY'!$C$4:$C$1200,'County Report'!A104)</f>
        <v>0</v>
      </c>
      <c r="C104" s="124">
        <f>COUNTIFS('SERVICE ENTRY'!$C$4:$C$1200,'County Report'!A104,'SERVICE ENTRY'!$G$4:$G$1200,"American Indian or Alaska Native")</f>
        <v>0</v>
      </c>
      <c r="D104" s="91">
        <f>COUNTIFS('SERVICE ENTRY'!$C$4:$C$1200,'County Report'!A104,'SERVICE ENTRY'!$G$4:$G$1200,"Asian")</f>
        <v>0</v>
      </c>
      <c r="E104" s="91">
        <f>COUNTIFS('SERVICE ENTRY'!$C$4:$C$1200,'County Report'!A104,'SERVICE ENTRY'!$G$4:$G$1200,"Black/African-American")</f>
        <v>0</v>
      </c>
      <c r="F104" s="91">
        <f>COUNTIFS('SERVICE ENTRY'!$C$4:$C$1200,'County Report'!A104,'SERVICE ENTRY'!$G$4:$G$1200,"Middle Eastern or North African")</f>
        <v>0</v>
      </c>
      <c r="G104" s="105">
        <f>COUNTIFS('SERVICE ENTRY'!$C$4:$C$1200,'County Report'!A104,'SERVICE ENTRY'!$G$4:$G$1200,"Native Hawaiian or Pacific Islander")</f>
        <v>0</v>
      </c>
      <c r="H104" s="91">
        <f>COUNTIFS('SERVICE ENTRY'!$C$4:$C$1200,'County Report'!A104,'SERVICE ENTRY'!$G$4:$G$1200,"White")</f>
        <v>0</v>
      </c>
      <c r="I104" s="105">
        <f>COUNTIFS('SERVICE ENTRY'!$C$4:$C$1200,'County Report'!A104,'SERVICE ENTRY'!$G$4:$G$1200,"Unknown or Other")</f>
        <v>0</v>
      </c>
      <c r="J104" s="214">
        <f>COUNTIFS('SERVICE ENTRY'!$C$4:$C$1200,'County Report'!A104,'SERVICE ENTRY'!$F$4:$F$1200,"Colombian")+COUNTIFS('SERVICE ENTRY'!$C$4:$C$1200,'County Report'!A104,'SERVICE ENTRY'!$F$4:$F$1200,"Cuban")+COUNTIFS('SERVICE ENTRY'!$C$4:$C$1200,'County Report'!A104,'SERVICE ENTRY'!$F$4:$F$1200,"Dominican")+COUNTIFS('SERVICE ENTRY'!$C$4:$C$1200,'County Report'!A104,'SERVICE ENTRY'!$F$4:$F$1200,"Mexican/Mexican-American/Chicano")+COUNTIFS('SERVICE ENTRY'!$C$4:$C$1200,'County Report'!A104,'SERVICE ENTRY'!$F$4:$F$1200,"Puerto Rican")+COUNTIFS('SERVICE ENTRY'!$C$4:$C$1200,'County Report'!A104,'SERVICE ENTRY'!$F$4:$F$1200,"Salvadoran")+COUNTIFS('SERVICE ENTRY'!$C$4:$C$1200,'County Report'!A104,'SERVICE ENTRY'!$F$4:$F$1200,"Other Hispanic/Latino/Spanish origin")</f>
        <v>0</v>
      </c>
      <c r="K104" s="91">
        <f>COUNTIFS('SERVICE ENTRY'!$C$4:$C$1200,'County Report'!A104,'SERVICE ENTRY'!$F$4:$F$1200,"Not of Hispanic/Latino/Spanish origin")</f>
        <v>0</v>
      </c>
      <c r="L104" s="247">
        <f>COUNTIFS('SERVICE ENTRY'!$C$4:$C$1200,'County Report'!A104,'SERVICE ENTRY'!$F$4:$F$1200,"Unknown or Other")</f>
        <v>0</v>
      </c>
    </row>
    <row r="105" spans="1:12" x14ac:dyDescent="0.25">
      <c r="A105" s="167" t="s">
        <v>657</v>
      </c>
      <c r="B105" s="126">
        <f>COUNTIF('SERVICE ENTRY'!$C$4:$C$1200,'County Report'!A105)</f>
        <v>0</v>
      </c>
      <c r="C105" s="124">
        <f>COUNTIFS('SERVICE ENTRY'!$C$4:$C$1200,'County Report'!A105,'SERVICE ENTRY'!$G$4:$G$1200,"American Indian or Alaska Native")</f>
        <v>0</v>
      </c>
      <c r="D105" s="91">
        <f>COUNTIFS('SERVICE ENTRY'!$C$4:$C$1200,'County Report'!A105,'SERVICE ENTRY'!$G$4:$G$1200,"Asian")</f>
        <v>0</v>
      </c>
      <c r="E105" s="91">
        <f>COUNTIFS('SERVICE ENTRY'!$C$4:$C$1200,'County Report'!A105,'SERVICE ENTRY'!$G$4:$G$1200,"Black/African-American")</f>
        <v>0</v>
      </c>
      <c r="F105" s="91">
        <f>COUNTIFS('SERVICE ENTRY'!$C$4:$C$1200,'County Report'!A105,'SERVICE ENTRY'!$G$4:$G$1200,"Middle Eastern or North African")</f>
        <v>0</v>
      </c>
      <c r="G105" s="105">
        <f>COUNTIFS('SERVICE ENTRY'!$C$4:$C$1200,'County Report'!A105,'SERVICE ENTRY'!$G$4:$G$1200,"Native Hawaiian or Pacific Islander")</f>
        <v>0</v>
      </c>
      <c r="H105" s="91">
        <f>COUNTIFS('SERVICE ENTRY'!$C$4:$C$1200,'County Report'!A105,'SERVICE ENTRY'!$G$4:$G$1200,"White")</f>
        <v>0</v>
      </c>
      <c r="I105" s="105">
        <f>COUNTIFS('SERVICE ENTRY'!$C$4:$C$1200,'County Report'!A105,'SERVICE ENTRY'!$G$4:$G$1200,"Unknown or Other")</f>
        <v>0</v>
      </c>
      <c r="J105" s="214">
        <f>COUNTIFS('SERVICE ENTRY'!$C$4:$C$1200,'County Report'!A105,'SERVICE ENTRY'!$F$4:$F$1200,"Colombian")+COUNTIFS('SERVICE ENTRY'!$C$4:$C$1200,'County Report'!A105,'SERVICE ENTRY'!$F$4:$F$1200,"Cuban")+COUNTIFS('SERVICE ENTRY'!$C$4:$C$1200,'County Report'!A105,'SERVICE ENTRY'!$F$4:$F$1200,"Dominican")+COUNTIFS('SERVICE ENTRY'!$C$4:$C$1200,'County Report'!A105,'SERVICE ENTRY'!$F$4:$F$1200,"Mexican/Mexican-American/Chicano")+COUNTIFS('SERVICE ENTRY'!$C$4:$C$1200,'County Report'!A105,'SERVICE ENTRY'!$F$4:$F$1200,"Puerto Rican")+COUNTIFS('SERVICE ENTRY'!$C$4:$C$1200,'County Report'!A105,'SERVICE ENTRY'!$F$4:$F$1200,"Salvadoran")+COUNTIFS('SERVICE ENTRY'!$C$4:$C$1200,'County Report'!A105,'SERVICE ENTRY'!$F$4:$F$1200,"Other Hispanic/Latino/Spanish origin")</f>
        <v>0</v>
      </c>
      <c r="K105" s="91">
        <f>COUNTIFS('SERVICE ENTRY'!$C$4:$C$1200,'County Report'!A105,'SERVICE ENTRY'!$F$4:$F$1200,"Not of Hispanic/Latino/Spanish origin")</f>
        <v>0</v>
      </c>
      <c r="L105" s="247">
        <f>COUNTIFS('SERVICE ENTRY'!$C$4:$C$1200,'County Report'!A105,'SERVICE ENTRY'!$F$4:$F$1200,"Unknown or Other")</f>
        <v>0</v>
      </c>
    </row>
    <row r="106" spans="1:12" x14ac:dyDescent="0.25">
      <c r="A106" s="167" t="s">
        <v>658</v>
      </c>
      <c r="B106" s="126">
        <f>COUNTIF('SERVICE ENTRY'!$C$4:$C$1200,'County Report'!A106)</f>
        <v>0</v>
      </c>
      <c r="C106" s="124">
        <f>COUNTIFS('SERVICE ENTRY'!$C$4:$C$1200,'County Report'!A106,'SERVICE ENTRY'!$G$4:$G$1200,"American Indian or Alaska Native")</f>
        <v>0</v>
      </c>
      <c r="D106" s="91">
        <f>COUNTIFS('SERVICE ENTRY'!$C$4:$C$1200,'County Report'!A106,'SERVICE ENTRY'!$G$4:$G$1200,"Asian")</f>
        <v>0</v>
      </c>
      <c r="E106" s="91">
        <f>COUNTIFS('SERVICE ENTRY'!$C$4:$C$1200,'County Report'!A106,'SERVICE ENTRY'!$G$4:$G$1200,"Black/African-American")</f>
        <v>0</v>
      </c>
      <c r="F106" s="91">
        <f>COUNTIFS('SERVICE ENTRY'!$C$4:$C$1200,'County Report'!A106,'SERVICE ENTRY'!$G$4:$G$1200,"Middle Eastern or North African")</f>
        <v>0</v>
      </c>
      <c r="G106" s="105">
        <f>COUNTIFS('SERVICE ENTRY'!$C$4:$C$1200,'County Report'!A106,'SERVICE ENTRY'!$G$4:$G$1200,"Native Hawaiian or Pacific Islander")</f>
        <v>0</v>
      </c>
      <c r="H106" s="91">
        <f>COUNTIFS('SERVICE ENTRY'!$C$4:$C$1200,'County Report'!A106,'SERVICE ENTRY'!$G$4:$G$1200,"White")</f>
        <v>0</v>
      </c>
      <c r="I106" s="105">
        <f>COUNTIFS('SERVICE ENTRY'!$C$4:$C$1200,'County Report'!A106,'SERVICE ENTRY'!$G$4:$G$1200,"Unknown or Other")</f>
        <v>0</v>
      </c>
      <c r="J106" s="214">
        <f>COUNTIFS('SERVICE ENTRY'!$C$4:$C$1200,'County Report'!A106,'SERVICE ENTRY'!$F$4:$F$1200,"Colombian")+COUNTIFS('SERVICE ENTRY'!$C$4:$C$1200,'County Report'!A106,'SERVICE ENTRY'!$F$4:$F$1200,"Cuban")+COUNTIFS('SERVICE ENTRY'!$C$4:$C$1200,'County Report'!A106,'SERVICE ENTRY'!$F$4:$F$1200,"Dominican")+COUNTIFS('SERVICE ENTRY'!$C$4:$C$1200,'County Report'!A106,'SERVICE ENTRY'!$F$4:$F$1200,"Mexican/Mexican-American/Chicano")+COUNTIFS('SERVICE ENTRY'!$C$4:$C$1200,'County Report'!A106,'SERVICE ENTRY'!$F$4:$F$1200,"Puerto Rican")+COUNTIFS('SERVICE ENTRY'!$C$4:$C$1200,'County Report'!A106,'SERVICE ENTRY'!$F$4:$F$1200,"Salvadoran")+COUNTIFS('SERVICE ENTRY'!$C$4:$C$1200,'County Report'!A106,'SERVICE ENTRY'!$F$4:$F$1200,"Other Hispanic/Latino/Spanish origin")</f>
        <v>0</v>
      </c>
      <c r="K106" s="91">
        <f>COUNTIFS('SERVICE ENTRY'!$C$4:$C$1200,'County Report'!A106,'SERVICE ENTRY'!$F$4:$F$1200,"Not of Hispanic/Latino/Spanish origin")</f>
        <v>0</v>
      </c>
      <c r="L106" s="247">
        <f>COUNTIFS('SERVICE ENTRY'!$C$4:$C$1200,'County Report'!A106,'SERVICE ENTRY'!$F$4:$F$1200,"Unknown or Other")</f>
        <v>0</v>
      </c>
    </row>
    <row r="107" spans="1:12" x14ac:dyDescent="0.25">
      <c r="A107" s="167" t="s">
        <v>659</v>
      </c>
      <c r="B107" s="126">
        <f>COUNTIF('SERVICE ENTRY'!$C$4:$C$1200,'County Report'!A107)</f>
        <v>0</v>
      </c>
      <c r="C107" s="124">
        <f>COUNTIFS('SERVICE ENTRY'!$C$4:$C$1200,'County Report'!A107,'SERVICE ENTRY'!$G$4:$G$1200,"American Indian or Alaska Native")</f>
        <v>0</v>
      </c>
      <c r="D107" s="91">
        <f>COUNTIFS('SERVICE ENTRY'!$C$4:$C$1200,'County Report'!A107,'SERVICE ENTRY'!$G$4:$G$1200,"Asian")</f>
        <v>0</v>
      </c>
      <c r="E107" s="91">
        <f>COUNTIFS('SERVICE ENTRY'!$C$4:$C$1200,'County Report'!A107,'SERVICE ENTRY'!$G$4:$G$1200,"Black/African-American")</f>
        <v>0</v>
      </c>
      <c r="F107" s="91">
        <f>COUNTIFS('SERVICE ENTRY'!$C$4:$C$1200,'County Report'!A107,'SERVICE ENTRY'!$G$4:$G$1200,"Middle Eastern or North African")</f>
        <v>0</v>
      </c>
      <c r="G107" s="105">
        <f>COUNTIFS('SERVICE ENTRY'!$C$4:$C$1200,'County Report'!A107,'SERVICE ENTRY'!$G$4:$G$1200,"Native Hawaiian or Pacific Islander")</f>
        <v>0</v>
      </c>
      <c r="H107" s="91">
        <f>COUNTIFS('SERVICE ENTRY'!$C$4:$C$1200,'County Report'!A107,'SERVICE ENTRY'!$G$4:$G$1200,"White")</f>
        <v>0</v>
      </c>
      <c r="I107" s="105">
        <f>COUNTIFS('SERVICE ENTRY'!$C$4:$C$1200,'County Report'!A107,'SERVICE ENTRY'!$G$4:$G$1200,"Unknown or Other")</f>
        <v>0</v>
      </c>
      <c r="J107" s="214">
        <f>COUNTIFS('SERVICE ENTRY'!$C$4:$C$1200,'County Report'!A107,'SERVICE ENTRY'!$F$4:$F$1200,"Colombian")+COUNTIFS('SERVICE ENTRY'!$C$4:$C$1200,'County Report'!A107,'SERVICE ENTRY'!$F$4:$F$1200,"Cuban")+COUNTIFS('SERVICE ENTRY'!$C$4:$C$1200,'County Report'!A107,'SERVICE ENTRY'!$F$4:$F$1200,"Dominican")+COUNTIFS('SERVICE ENTRY'!$C$4:$C$1200,'County Report'!A107,'SERVICE ENTRY'!$F$4:$F$1200,"Mexican/Mexican-American/Chicano")+COUNTIFS('SERVICE ENTRY'!$C$4:$C$1200,'County Report'!A107,'SERVICE ENTRY'!$F$4:$F$1200,"Puerto Rican")+COUNTIFS('SERVICE ENTRY'!$C$4:$C$1200,'County Report'!A107,'SERVICE ENTRY'!$F$4:$F$1200,"Salvadoran")+COUNTIFS('SERVICE ENTRY'!$C$4:$C$1200,'County Report'!A107,'SERVICE ENTRY'!$F$4:$F$1200,"Other Hispanic/Latino/Spanish origin")</f>
        <v>0</v>
      </c>
      <c r="K107" s="91">
        <f>COUNTIFS('SERVICE ENTRY'!$C$4:$C$1200,'County Report'!A107,'SERVICE ENTRY'!$F$4:$F$1200,"Not of Hispanic/Latino/Spanish origin")</f>
        <v>0</v>
      </c>
      <c r="L107" s="247">
        <f>COUNTIFS('SERVICE ENTRY'!$C$4:$C$1200,'County Report'!A107,'SERVICE ENTRY'!$F$4:$F$1200,"Unknown or Other")</f>
        <v>0</v>
      </c>
    </row>
    <row r="108" spans="1:12" x14ac:dyDescent="0.25">
      <c r="A108" s="167" t="s">
        <v>660</v>
      </c>
      <c r="B108" s="126">
        <f>COUNTIF('SERVICE ENTRY'!$C$4:$C$1200,'County Report'!A108)</f>
        <v>0</v>
      </c>
      <c r="C108" s="124">
        <f>COUNTIFS('SERVICE ENTRY'!$C$4:$C$1200,'County Report'!A108,'SERVICE ENTRY'!$G$4:$G$1200,"American Indian or Alaska Native")</f>
        <v>0</v>
      </c>
      <c r="D108" s="91">
        <f>COUNTIFS('SERVICE ENTRY'!$C$4:$C$1200,'County Report'!A108,'SERVICE ENTRY'!$G$4:$G$1200,"Asian")</f>
        <v>0</v>
      </c>
      <c r="E108" s="91">
        <f>COUNTIFS('SERVICE ENTRY'!$C$4:$C$1200,'County Report'!A108,'SERVICE ENTRY'!$G$4:$G$1200,"Black/African-American")</f>
        <v>0</v>
      </c>
      <c r="F108" s="91">
        <f>COUNTIFS('SERVICE ENTRY'!$C$4:$C$1200,'County Report'!A108,'SERVICE ENTRY'!$G$4:$G$1200,"Middle Eastern or North African")</f>
        <v>0</v>
      </c>
      <c r="G108" s="105">
        <f>COUNTIFS('SERVICE ENTRY'!$C$4:$C$1200,'County Report'!A108,'SERVICE ENTRY'!$G$4:$G$1200,"Native Hawaiian or Pacific Islander")</f>
        <v>0</v>
      </c>
      <c r="H108" s="91">
        <f>COUNTIFS('SERVICE ENTRY'!$C$4:$C$1200,'County Report'!A108,'SERVICE ENTRY'!$G$4:$G$1200,"White")</f>
        <v>0</v>
      </c>
      <c r="I108" s="105">
        <f>COUNTIFS('SERVICE ENTRY'!$C$4:$C$1200,'County Report'!A108,'SERVICE ENTRY'!$G$4:$G$1200,"Unknown or Other")</f>
        <v>0</v>
      </c>
      <c r="J108" s="214">
        <f>COUNTIFS('SERVICE ENTRY'!$C$4:$C$1200,'County Report'!A108,'SERVICE ENTRY'!$F$4:$F$1200,"Colombian")+COUNTIFS('SERVICE ENTRY'!$C$4:$C$1200,'County Report'!A108,'SERVICE ENTRY'!$F$4:$F$1200,"Cuban")+COUNTIFS('SERVICE ENTRY'!$C$4:$C$1200,'County Report'!A108,'SERVICE ENTRY'!$F$4:$F$1200,"Dominican")+COUNTIFS('SERVICE ENTRY'!$C$4:$C$1200,'County Report'!A108,'SERVICE ENTRY'!$F$4:$F$1200,"Mexican/Mexican-American/Chicano")+COUNTIFS('SERVICE ENTRY'!$C$4:$C$1200,'County Report'!A108,'SERVICE ENTRY'!$F$4:$F$1200,"Puerto Rican")+COUNTIFS('SERVICE ENTRY'!$C$4:$C$1200,'County Report'!A108,'SERVICE ENTRY'!$F$4:$F$1200,"Salvadoran")+COUNTIFS('SERVICE ENTRY'!$C$4:$C$1200,'County Report'!A108,'SERVICE ENTRY'!$F$4:$F$1200,"Other Hispanic/Latino/Spanish origin")</f>
        <v>0</v>
      </c>
      <c r="K108" s="91">
        <f>COUNTIFS('SERVICE ENTRY'!$C$4:$C$1200,'County Report'!A108,'SERVICE ENTRY'!$F$4:$F$1200,"Not of Hispanic/Latino/Spanish origin")</f>
        <v>0</v>
      </c>
      <c r="L108" s="247">
        <f>COUNTIFS('SERVICE ENTRY'!$C$4:$C$1200,'County Report'!A108,'SERVICE ENTRY'!$F$4:$F$1200,"Unknown or Other")</f>
        <v>0</v>
      </c>
    </row>
    <row r="109" spans="1:12" x14ac:dyDescent="0.25">
      <c r="A109" s="167" t="s">
        <v>661</v>
      </c>
      <c r="B109" s="126">
        <f>COUNTIF('SERVICE ENTRY'!$C$4:$C$1200,'County Report'!A109)</f>
        <v>0</v>
      </c>
      <c r="C109" s="124">
        <f>COUNTIFS('SERVICE ENTRY'!$C$4:$C$1200,'County Report'!A109,'SERVICE ENTRY'!$G$4:$G$1200,"American Indian or Alaska Native")</f>
        <v>0</v>
      </c>
      <c r="D109" s="91">
        <f>COUNTIFS('SERVICE ENTRY'!$C$4:$C$1200,'County Report'!A109,'SERVICE ENTRY'!$G$4:$G$1200,"Asian")</f>
        <v>0</v>
      </c>
      <c r="E109" s="91">
        <f>COUNTIFS('SERVICE ENTRY'!$C$4:$C$1200,'County Report'!A109,'SERVICE ENTRY'!$G$4:$G$1200,"Black/African-American")</f>
        <v>0</v>
      </c>
      <c r="F109" s="91">
        <f>COUNTIFS('SERVICE ENTRY'!$C$4:$C$1200,'County Report'!A109,'SERVICE ENTRY'!$G$4:$G$1200,"Middle Eastern or North African")</f>
        <v>0</v>
      </c>
      <c r="G109" s="105">
        <f>COUNTIFS('SERVICE ENTRY'!$C$4:$C$1200,'County Report'!A109,'SERVICE ENTRY'!$G$4:$G$1200,"Native Hawaiian or Pacific Islander")</f>
        <v>0</v>
      </c>
      <c r="H109" s="91">
        <f>COUNTIFS('SERVICE ENTRY'!$C$4:$C$1200,'County Report'!A109,'SERVICE ENTRY'!$G$4:$G$1200,"White")</f>
        <v>0</v>
      </c>
      <c r="I109" s="105">
        <f>COUNTIFS('SERVICE ENTRY'!$C$4:$C$1200,'County Report'!A109,'SERVICE ENTRY'!$G$4:$G$1200,"Unknown or Other")</f>
        <v>0</v>
      </c>
      <c r="J109" s="214">
        <f>COUNTIFS('SERVICE ENTRY'!$C$4:$C$1200,'County Report'!A109,'SERVICE ENTRY'!$F$4:$F$1200,"Colombian")+COUNTIFS('SERVICE ENTRY'!$C$4:$C$1200,'County Report'!A109,'SERVICE ENTRY'!$F$4:$F$1200,"Cuban")+COUNTIFS('SERVICE ENTRY'!$C$4:$C$1200,'County Report'!A109,'SERVICE ENTRY'!$F$4:$F$1200,"Dominican")+COUNTIFS('SERVICE ENTRY'!$C$4:$C$1200,'County Report'!A109,'SERVICE ENTRY'!$F$4:$F$1200,"Mexican/Mexican-American/Chicano")+COUNTIFS('SERVICE ENTRY'!$C$4:$C$1200,'County Report'!A109,'SERVICE ENTRY'!$F$4:$F$1200,"Puerto Rican")+COUNTIFS('SERVICE ENTRY'!$C$4:$C$1200,'County Report'!A109,'SERVICE ENTRY'!$F$4:$F$1200,"Salvadoran")+COUNTIFS('SERVICE ENTRY'!$C$4:$C$1200,'County Report'!A109,'SERVICE ENTRY'!$F$4:$F$1200,"Other Hispanic/Latino/Spanish origin")</f>
        <v>0</v>
      </c>
      <c r="K109" s="91">
        <f>COUNTIFS('SERVICE ENTRY'!$C$4:$C$1200,'County Report'!A109,'SERVICE ENTRY'!$F$4:$F$1200,"Not of Hispanic/Latino/Spanish origin")</f>
        <v>0</v>
      </c>
      <c r="L109" s="247">
        <f>COUNTIFS('SERVICE ENTRY'!$C$4:$C$1200,'County Report'!A109,'SERVICE ENTRY'!$F$4:$F$1200,"Unknown or Other")</f>
        <v>0</v>
      </c>
    </row>
    <row r="110" spans="1:12" x14ac:dyDescent="0.25">
      <c r="A110" s="167" t="s">
        <v>662</v>
      </c>
      <c r="B110" s="126">
        <f>COUNTIF('SERVICE ENTRY'!$C$4:$C$1200,'County Report'!A110)</f>
        <v>0</v>
      </c>
      <c r="C110" s="124">
        <f>COUNTIFS('SERVICE ENTRY'!$C$4:$C$1200,'County Report'!A110,'SERVICE ENTRY'!$G$4:$G$1200,"American Indian or Alaska Native")</f>
        <v>0</v>
      </c>
      <c r="D110" s="91">
        <f>COUNTIFS('SERVICE ENTRY'!$C$4:$C$1200,'County Report'!A110,'SERVICE ENTRY'!$G$4:$G$1200,"Asian")</f>
        <v>0</v>
      </c>
      <c r="E110" s="91">
        <f>COUNTIFS('SERVICE ENTRY'!$C$4:$C$1200,'County Report'!A110,'SERVICE ENTRY'!$G$4:$G$1200,"Black/African-American")</f>
        <v>0</v>
      </c>
      <c r="F110" s="91">
        <f>COUNTIFS('SERVICE ENTRY'!$C$4:$C$1200,'County Report'!A110,'SERVICE ENTRY'!$G$4:$G$1200,"Middle Eastern or North African")</f>
        <v>0</v>
      </c>
      <c r="G110" s="105">
        <f>COUNTIFS('SERVICE ENTRY'!$C$4:$C$1200,'County Report'!A110,'SERVICE ENTRY'!$G$4:$G$1200,"Native Hawaiian or Pacific Islander")</f>
        <v>0</v>
      </c>
      <c r="H110" s="91">
        <f>COUNTIFS('SERVICE ENTRY'!$C$4:$C$1200,'County Report'!A110,'SERVICE ENTRY'!$G$4:$G$1200,"White")</f>
        <v>0</v>
      </c>
      <c r="I110" s="105">
        <f>COUNTIFS('SERVICE ENTRY'!$C$4:$C$1200,'County Report'!A110,'SERVICE ENTRY'!$G$4:$G$1200,"Unknown or Other")</f>
        <v>0</v>
      </c>
      <c r="J110" s="214">
        <f>COUNTIFS('SERVICE ENTRY'!$C$4:$C$1200,'County Report'!A110,'SERVICE ENTRY'!$F$4:$F$1200,"Colombian")+COUNTIFS('SERVICE ENTRY'!$C$4:$C$1200,'County Report'!A110,'SERVICE ENTRY'!$F$4:$F$1200,"Cuban")+COUNTIFS('SERVICE ENTRY'!$C$4:$C$1200,'County Report'!A110,'SERVICE ENTRY'!$F$4:$F$1200,"Dominican")+COUNTIFS('SERVICE ENTRY'!$C$4:$C$1200,'County Report'!A110,'SERVICE ENTRY'!$F$4:$F$1200,"Mexican/Mexican-American/Chicano")+COUNTIFS('SERVICE ENTRY'!$C$4:$C$1200,'County Report'!A110,'SERVICE ENTRY'!$F$4:$F$1200,"Puerto Rican")+COUNTIFS('SERVICE ENTRY'!$C$4:$C$1200,'County Report'!A110,'SERVICE ENTRY'!$F$4:$F$1200,"Salvadoran")+COUNTIFS('SERVICE ENTRY'!$C$4:$C$1200,'County Report'!A110,'SERVICE ENTRY'!$F$4:$F$1200,"Other Hispanic/Latino/Spanish origin")</f>
        <v>0</v>
      </c>
      <c r="K110" s="91">
        <f>COUNTIFS('SERVICE ENTRY'!$C$4:$C$1200,'County Report'!A110,'SERVICE ENTRY'!$F$4:$F$1200,"Not of Hispanic/Latino/Spanish origin")</f>
        <v>0</v>
      </c>
      <c r="L110" s="247">
        <f>COUNTIFS('SERVICE ENTRY'!$C$4:$C$1200,'County Report'!A110,'SERVICE ENTRY'!$F$4:$F$1200,"Unknown or Other")</f>
        <v>0</v>
      </c>
    </row>
    <row r="111" spans="1:12" x14ac:dyDescent="0.25">
      <c r="A111" s="167" t="s">
        <v>663</v>
      </c>
      <c r="B111" s="126">
        <f>COUNTIF('SERVICE ENTRY'!$C$4:$C$1200,'County Report'!A111)</f>
        <v>0</v>
      </c>
      <c r="C111" s="124">
        <f>COUNTIFS('SERVICE ENTRY'!$C$4:$C$1200,'County Report'!A111,'SERVICE ENTRY'!$G$4:$G$1200,"American Indian or Alaska Native")</f>
        <v>0</v>
      </c>
      <c r="D111" s="91">
        <f>COUNTIFS('SERVICE ENTRY'!$C$4:$C$1200,'County Report'!A111,'SERVICE ENTRY'!$G$4:$G$1200,"Asian")</f>
        <v>0</v>
      </c>
      <c r="E111" s="91">
        <f>COUNTIFS('SERVICE ENTRY'!$C$4:$C$1200,'County Report'!A111,'SERVICE ENTRY'!$G$4:$G$1200,"Black/African-American")</f>
        <v>0</v>
      </c>
      <c r="F111" s="91">
        <f>COUNTIFS('SERVICE ENTRY'!$C$4:$C$1200,'County Report'!A111,'SERVICE ENTRY'!$G$4:$G$1200,"Middle Eastern or North African")</f>
        <v>0</v>
      </c>
      <c r="G111" s="105">
        <f>COUNTIFS('SERVICE ENTRY'!$C$4:$C$1200,'County Report'!A111,'SERVICE ENTRY'!$G$4:$G$1200,"Native Hawaiian or Pacific Islander")</f>
        <v>0</v>
      </c>
      <c r="H111" s="91">
        <f>COUNTIFS('SERVICE ENTRY'!$C$4:$C$1200,'County Report'!A111,'SERVICE ENTRY'!$G$4:$G$1200,"White")</f>
        <v>0</v>
      </c>
      <c r="I111" s="105">
        <f>COUNTIFS('SERVICE ENTRY'!$C$4:$C$1200,'County Report'!A111,'SERVICE ENTRY'!$G$4:$G$1200,"Unknown or Other")</f>
        <v>0</v>
      </c>
      <c r="J111" s="214">
        <f>COUNTIFS('SERVICE ENTRY'!$C$4:$C$1200,'County Report'!A111,'SERVICE ENTRY'!$F$4:$F$1200,"Colombian")+COUNTIFS('SERVICE ENTRY'!$C$4:$C$1200,'County Report'!A111,'SERVICE ENTRY'!$F$4:$F$1200,"Cuban")+COUNTIFS('SERVICE ENTRY'!$C$4:$C$1200,'County Report'!A111,'SERVICE ENTRY'!$F$4:$F$1200,"Dominican")+COUNTIFS('SERVICE ENTRY'!$C$4:$C$1200,'County Report'!A111,'SERVICE ENTRY'!$F$4:$F$1200,"Mexican/Mexican-American/Chicano")+COUNTIFS('SERVICE ENTRY'!$C$4:$C$1200,'County Report'!A111,'SERVICE ENTRY'!$F$4:$F$1200,"Puerto Rican")+COUNTIFS('SERVICE ENTRY'!$C$4:$C$1200,'County Report'!A111,'SERVICE ENTRY'!$F$4:$F$1200,"Salvadoran")+COUNTIFS('SERVICE ENTRY'!$C$4:$C$1200,'County Report'!A111,'SERVICE ENTRY'!$F$4:$F$1200,"Other Hispanic/Latino/Spanish origin")</f>
        <v>0</v>
      </c>
      <c r="K111" s="91">
        <f>COUNTIFS('SERVICE ENTRY'!$C$4:$C$1200,'County Report'!A111,'SERVICE ENTRY'!$F$4:$F$1200,"Not of Hispanic/Latino/Spanish origin")</f>
        <v>0</v>
      </c>
      <c r="L111" s="247">
        <f>COUNTIFS('SERVICE ENTRY'!$C$4:$C$1200,'County Report'!A111,'SERVICE ENTRY'!$F$4:$F$1200,"Unknown or Other")</f>
        <v>0</v>
      </c>
    </row>
    <row r="112" spans="1:12" x14ac:dyDescent="0.25">
      <c r="A112" s="167" t="s">
        <v>664</v>
      </c>
      <c r="B112" s="126">
        <f>COUNTIF('SERVICE ENTRY'!$C$4:$C$1200,'County Report'!A112)</f>
        <v>0</v>
      </c>
      <c r="C112" s="124">
        <f>COUNTIFS('SERVICE ENTRY'!$C$4:$C$1200,'County Report'!A112,'SERVICE ENTRY'!$G$4:$G$1200,"American Indian or Alaska Native")</f>
        <v>0</v>
      </c>
      <c r="D112" s="91">
        <f>COUNTIFS('SERVICE ENTRY'!$C$4:$C$1200,'County Report'!A112,'SERVICE ENTRY'!$G$4:$G$1200,"Asian")</f>
        <v>0</v>
      </c>
      <c r="E112" s="91">
        <f>COUNTIFS('SERVICE ENTRY'!$C$4:$C$1200,'County Report'!A112,'SERVICE ENTRY'!$G$4:$G$1200,"Black/African-American")</f>
        <v>0</v>
      </c>
      <c r="F112" s="91">
        <f>COUNTIFS('SERVICE ENTRY'!$C$4:$C$1200,'County Report'!A112,'SERVICE ENTRY'!$G$4:$G$1200,"Middle Eastern or North African")</f>
        <v>0</v>
      </c>
      <c r="G112" s="105">
        <f>COUNTIFS('SERVICE ENTRY'!$C$4:$C$1200,'County Report'!A112,'SERVICE ENTRY'!$G$4:$G$1200,"Native Hawaiian or Pacific Islander")</f>
        <v>0</v>
      </c>
      <c r="H112" s="91">
        <f>COUNTIFS('SERVICE ENTRY'!$C$4:$C$1200,'County Report'!A112,'SERVICE ENTRY'!$G$4:$G$1200,"White")</f>
        <v>0</v>
      </c>
      <c r="I112" s="105">
        <f>COUNTIFS('SERVICE ENTRY'!$C$4:$C$1200,'County Report'!A112,'SERVICE ENTRY'!$G$4:$G$1200,"Unknown or Other")</f>
        <v>0</v>
      </c>
      <c r="J112" s="214">
        <f>COUNTIFS('SERVICE ENTRY'!$C$4:$C$1200,'County Report'!A112,'SERVICE ENTRY'!$F$4:$F$1200,"Colombian")+COUNTIFS('SERVICE ENTRY'!$C$4:$C$1200,'County Report'!A112,'SERVICE ENTRY'!$F$4:$F$1200,"Cuban")+COUNTIFS('SERVICE ENTRY'!$C$4:$C$1200,'County Report'!A112,'SERVICE ENTRY'!$F$4:$F$1200,"Dominican")+COUNTIFS('SERVICE ENTRY'!$C$4:$C$1200,'County Report'!A112,'SERVICE ENTRY'!$F$4:$F$1200,"Mexican/Mexican-American/Chicano")+COUNTIFS('SERVICE ENTRY'!$C$4:$C$1200,'County Report'!A112,'SERVICE ENTRY'!$F$4:$F$1200,"Puerto Rican")+COUNTIFS('SERVICE ENTRY'!$C$4:$C$1200,'County Report'!A112,'SERVICE ENTRY'!$F$4:$F$1200,"Salvadoran")+COUNTIFS('SERVICE ENTRY'!$C$4:$C$1200,'County Report'!A112,'SERVICE ENTRY'!$F$4:$F$1200,"Other Hispanic/Latino/Spanish origin")</f>
        <v>0</v>
      </c>
      <c r="K112" s="91">
        <f>COUNTIFS('SERVICE ENTRY'!$C$4:$C$1200,'County Report'!A112,'SERVICE ENTRY'!$F$4:$F$1200,"Not of Hispanic/Latino/Spanish origin")</f>
        <v>0</v>
      </c>
      <c r="L112" s="247">
        <f>COUNTIFS('SERVICE ENTRY'!$C$4:$C$1200,'County Report'!A112,'SERVICE ENTRY'!$F$4:$F$1200,"Unknown or Other")</f>
        <v>0</v>
      </c>
    </row>
    <row r="113" spans="1:12" x14ac:dyDescent="0.25">
      <c r="A113" s="167" t="s">
        <v>665</v>
      </c>
      <c r="B113" s="126">
        <f>COUNTIF('SERVICE ENTRY'!$C$4:$C$1200,'County Report'!A113)</f>
        <v>0</v>
      </c>
      <c r="C113" s="124">
        <f>COUNTIFS('SERVICE ENTRY'!$C$4:$C$1200,'County Report'!A113,'SERVICE ENTRY'!$G$4:$G$1200,"American Indian or Alaska Native")</f>
        <v>0</v>
      </c>
      <c r="D113" s="91">
        <f>COUNTIFS('SERVICE ENTRY'!$C$4:$C$1200,'County Report'!A113,'SERVICE ENTRY'!$G$4:$G$1200,"Asian")</f>
        <v>0</v>
      </c>
      <c r="E113" s="91">
        <f>COUNTIFS('SERVICE ENTRY'!$C$4:$C$1200,'County Report'!A113,'SERVICE ENTRY'!$G$4:$G$1200,"Black/African-American")</f>
        <v>0</v>
      </c>
      <c r="F113" s="91">
        <f>COUNTIFS('SERVICE ENTRY'!$C$4:$C$1200,'County Report'!A113,'SERVICE ENTRY'!$G$4:$G$1200,"Middle Eastern or North African")</f>
        <v>0</v>
      </c>
      <c r="G113" s="105">
        <f>COUNTIFS('SERVICE ENTRY'!$C$4:$C$1200,'County Report'!A113,'SERVICE ENTRY'!$G$4:$G$1200,"Native Hawaiian or Pacific Islander")</f>
        <v>0</v>
      </c>
      <c r="H113" s="91">
        <f>COUNTIFS('SERVICE ENTRY'!$C$4:$C$1200,'County Report'!A113,'SERVICE ENTRY'!$G$4:$G$1200,"White")</f>
        <v>0</v>
      </c>
      <c r="I113" s="105">
        <f>COUNTIFS('SERVICE ENTRY'!$C$4:$C$1200,'County Report'!A113,'SERVICE ENTRY'!$G$4:$G$1200,"Unknown or Other")</f>
        <v>0</v>
      </c>
      <c r="J113" s="214">
        <f>COUNTIFS('SERVICE ENTRY'!$C$4:$C$1200,'County Report'!A113,'SERVICE ENTRY'!$F$4:$F$1200,"Colombian")+COUNTIFS('SERVICE ENTRY'!$C$4:$C$1200,'County Report'!A113,'SERVICE ENTRY'!$F$4:$F$1200,"Cuban")+COUNTIFS('SERVICE ENTRY'!$C$4:$C$1200,'County Report'!A113,'SERVICE ENTRY'!$F$4:$F$1200,"Dominican")+COUNTIFS('SERVICE ENTRY'!$C$4:$C$1200,'County Report'!A113,'SERVICE ENTRY'!$F$4:$F$1200,"Mexican/Mexican-American/Chicano")+COUNTIFS('SERVICE ENTRY'!$C$4:$C$1200,'County Report'!A113,'SERVICE ENTRY'!$F$4:$F$1200,"Puerto Rican")+COUNTIFS('SERVICE ENTRY'!$C$4:$C$1200,'County Report'!A113,'SERVICE ENTRY'!$F$4:$F$1200,"Salvadoran")+COUNTIFS('SERVICE ENTRY'!$C$4:$C$1200,'County Report'!A113,'SERVICE ENTRY'!$F$4:$F$1200,"Other Hispanic/Latino/Spanish origin")</f>
        <v>0</v>
      </c>
      <c r="K113" s="91">
        <f>COUNTIFS('SERVICE ENTRY'!$C$4:$C$1200,'County Report'!A113,'SERVICE ENTRY'!$F$4:$F$1200,"Not of Hispanic/Latino/Spanish origin")</f>
        <v>0</v>
      </c>
      <c r="L113" s="247">
        <f>COUNTIFS('SERVICE ENTRY'!$C$4:$C$1200,'County Report'!A113,'SERVICE ENTRY'!$F$4:$F$1200,"Unknown or Other")</f>
        <v>0</v>
      </c>
    </row>
    <row r="114" spans="1:12" x14ac:dyDescent="0.25">
      <c r="A114" s="167" t="s">
        <v>666</v>
      </c>
      <c r="B114" s="126">
        <f>COUNTIF('SERVICE ENTRY'!$C$4:$C$1200,'County Report'!A114)</f>
        <v>0</v>
      </c>
      <c r="C114" s="124">
        <f>COUNTIFS('SERVICE ENTRY'!$C$4:$C$1200,'County Report'!A114,'SERVICE ENTRY'!$G$4:$G$1200,"American Indian or Alaska Native")</f>
        <v>0</v>
      </c>
      <c r="D114" s="91">
        <f>COUNTIFS('SERVICE ENTRY'!$C$4:$C$1200,'County Report'!A114,'SERVICE ENTRY'!$G$4:$G$1200,"Asian")</f>
        <v>0</v>
      </c>
      <c r="E114" s="91">
        <f>COUNTIFS('SERVICE ENTRY'!$C$4:$C$1200,'County Report'!A114,'SERVICE ENTRY'!$G$4:$G$1200,"Black/African-American")</f>
        <v>0</v>
      </c>
      <c r="F114" s="91">
        <f>COUNTIFS('SERVICE ENTRY'!$C$4:$C$1200,'County Report'!A114,'SERVICE ENTRY'!$G$4:$G$1200,"Middle Eastern or North African")</f>
        <v>0</v>
      </c>
      <c r="G114" s="105">
        <f>COUNTIFS('SERVICE ENTRY'!$C$4:$C$1200,'County Report'!A114,'SERVICE ENTRY'!$G$4:$G$1200,"Native Hawaiian or Pacific Islander")</f>
        <v>0</v>
      </c>
      <c r="H114" s="91">
        <f>COUNTIFS('SERVICE ENTRY'!$C$4:$C$1200,'County Report'!A114,'SERVICE ENTRY'!$G$4:$G$1200,"White")</f>
        <v>0</v>
      </c>
      <c r="I114" s="105">
        <f>COUNTIFS('SERVICE ENTRY'!$C$4:$C$1200,'County Report'!A114,'SERVICE ENTRY'!$G$4:$G$1200,"Unknown or Other")</f>
        <v>0</v>
      </c>
      <c r="J114" s="214">
        <f>COUNTIFS('SERVICE ENTRY'!$C$4:$C$1200,'County Report'!A114,'SERVICE ENTRY'!$F$4:$F$1200,"Colombian")+COUNTIFS('SERVICE ENTRY'!$C$4:$C$1200,'County Report'!A114,'SERVICE ENTRY'!$F$4:$F$1200,"Cuban")+COUNTIFS('SERVICE ENTRY'!$C$4:$C$1200,'County Report'!A114,'SERVICE ENTRY'!$F$4:$F$1200,"Dominican")+COUNTIFS('SERVICE ENTRY'!$C$4:$C$1200,'County Report'!A114,'SERVICE ENTRY'!$F$4:$F$1200,"Mexican/Mexican-American/Chicano")+COUNTIFS('SERVICE ENTRY'!$C$4:$C$1200,'County Report'!A114,'SERVICE ENTRY'!$F$4:$F$1200,"Puerto Rican")+COUNTIFS('SERVICE ENTRY'!$C$4:$C$1200,'County Report'!A114,'SERVICE ENTRY'!$F$4:$F$1200,"Salvadoran")+COUNTIFS('SERVICE ENTRY'!$C$4:$C$1200,'County Report'!A114,'SERVICE ENTRY'!$F$4:$F$1200,"Other Hispanic/Latino/Spanish origin")</f>
        <v>0</v>
      </c>
      <c r="K114" s="91">
        <f>COUNTIFS('SERVICE ENTRY'!$C$4:$C$1200,'County Report'!A114,'SERVICE ENTRY'!$F$4:$F$1200,"Not of Hispanic/Latino/Spanish origin")</f>
        <v>0</v>
      </c>
      <c r="L114" s="247">
        <f>COUNTIFS('SERVICE ENTRY'!$C$4:$C$1200,'County Report'!A114,'SERVICE ENTRY'!$F$4:$F$1200,"Unknown or Other")</f>
        <v>0</v>
      </c>
    </row>
    <row r="115" spans="1:12" x14ac:dyDescent="0.25">
      <c r="A115" s="167" t="s">
        <v>667</v>
      </c>
      <c r="B115" s="126">
        <f>COUNTIF('SERVICE ENTRY'!$C$4:$C$1200,'County Report'!A115)</f>
        <v>0</v>
      </c>
      <c r="C115" s="124">
        <f>COUNTIFS('SERVICE ENTRY'!$C$4:$C$1200,'County Report'!A115,'SERVICE ENTRY'!$G$4:$G$1200,"American Indian or Alaska Native")</f>
        <v>0</v>
      </c>
      <c r="D115" s="91">
        <f>COUNTIFS('SERVICE ENTRY'!$C$4:$C$1200,'County Report'!A115,'SERVICE ENTRY'!$G$4:$G$1200,"Asian")</f>
        <v>0</v>
      </c>
      <c r="E115" s="91">
        <f>COUNTIFS('SERVICE ENTRY'!$C$4:$C$1200,'County Report'!A115,'SERVICE ENTRY'!$G$4:$G$1200,"Black/African-American")</f>
        <v>0</v>
      </c>
      <c r="F115" s="91">
        <f>COUNTIFS('SERVICE ENTRY'!$C$4:$C$1200,'County Report'!A115,'SERVICE ENTRY'!$G$4:$G$1200,"Middle Eastern or North African")</f>
        <v>0</v>
      </c>
      <c r="G115" s="105">
        <f>COUNTIFS('SERVICE ENTRY'!$C$4:$C$1200,'County Report'!A115,'SERVICE ENTRY'!$G$4:$G$1200,"Native Hawaiian or Pacific Islander")</f>
        <v>0</v>
      </c>
      <c r="H115" s="91">
        <f>COUNTIFS('SERVICE ENTRY'!$C$4:$C$1200,'County Report'!A115,'SERVICE ENTRY'!$G$4:$G$1200,"White")</f>
        <v>0</v>
      </c>
      <c r="I115" s="105">
        <f>COUNTIFS('SERVICE ENTRY'!$C$4:$C$1200,'County Report'!A115,'SERVICE ENTRY'!$G$4:$G$1200,"Unknown or Other")</f>
        <v>0</v>
      </c>
      <c r="J115" s="214">
        <f>COUNTIFS('SERVICE ENTRY'!$C$4:$C$1200,'County Report'!A115,'SERVICE ENTRY'!$F$4:$F$1200,"Colombian")+COUNTIFS('SERVICE ENTRY'!$C$4:$C$1200,'County Report'!A115,'SERVICE ENTRY'!$F$4:$F$1200,"Cuban")+COUNTIFS('SERVICE ENTRY'!$C$4:$C$1200,'County Report'!A115,'SERVICE ENTRY'!$F$4:$F$1200,"Dominican")+COUNTIFS('SERVICE ENTRY'!$C$4:$C$1200,'County Report'!A115,'SERVICE ENTRY'!$F$4:$F$1200,"Mexican/Mexican-American/Chicano")+COUNTIFS('SERVICE ENTRY'!$C$4:$C$1200,'County Report'!A115,'SERVICE ENTRY'!$F$4:$F$1200,"Puerto Rican")+COUNTIFS('SERVICE ENTRY'!$C$4:$C$1200,'County Report'!A115,'SERVICE ENTRY'!$F$4:$F$1200,"Salvadoran")+COUNTIFS('SERVICE ENTRY'!$C$4:$C$1200,'County Report'!A115,'SERVICE ENTRY'!$F$4:$F$1200,"Other Hispanic/Latino/Spanish origin")</f>
        <v>0</v>
      </c>
      <c r="K115" s="91">
        <f>COUNTIFS('SERVICE ENTRY'!$C$4:$C$1200,'County Report'!A115,'SERVICE ENTRY'!$F$4:$F$1200,"Not of Hispanic/Latino/Spanish origin")</f>
        <v>0</v>
      </c>
      <c r="L115" s="247">
        <f>COUNTIFS('SERVICE ENTRY'!$C$4:$C$1200,'County Report'!A115,'SERVICE ENTRY'!$F$4:$F$1200,"Unknown or Other")</f>
        <v>0</v>
      </c>
    </row>
    <row r="116" spans="1:12" x14ac:dyDescent="0.25">
      <c r="A116" s="167" t="s">
        <v>668</v>
      </c>
      <c r="B116" s="126">
        <f>COUNTIF('SERVICE ENTRY'!$C$4:$C$1200,'County Report'!A116)</f>
        <v>0</v>
      </c>
      <c r="C116" s="124">
        <f>COUNTIFS('SERVICE ENTRY'!$C$4:$C$1200,'County Report'!A116,'SERVICE ENTRY'!$G$4:$G$1200,"American Indian or Alaska Native")</f>
        <v>0</v>
      </c>
      <c r="D116" s="91">
        <f>COUNTIFS('SERVICE ENTRY'!$C$4:$C$1200,'County Report'!A116,'SERVICE ENTRY'!$G$4:$G$1200,"Asian")</f>
        <v>0</v>
      </c>
      <c r="E116" s="91">
        <f>COUNTIFS('SERVICE ENTRY'!$C$4:$C$1200,'County Report'!A116,'SERVICE ENTRY'!$G$4:$G$1200,"Black/African-American")</f>
        <v>0</v>
      </c>
      <c r="F116" s="91">
        <f>COUNTIFS('SERVICE ENTRY'!$C$4:$C$1200,'County Report'!A116,'SERVICE ENTRY'!$G$4:$G$1200,"Middle Eastern or North African")</f>
        <v>0</v>
      </c>
      <c r="G116" s="105">
        <f>COUNTIFS('SERVICE ENTRY'!$C$4:$C$1200,'County Report'!A116,'SERVICE ENTRY'!$G$4:$G$1200,"Native Hawaiian or Pacific Islander")</f>
        <v>0</v>
      </c>
      <c r="H116" s="91">
        <f>COUNTIFS('SERVICE ENTRY'!$C$4:$C$1200,'County Report'!A116,'SERVICE ENTRY'!$G$4:$G$1200,"White")</f>
        <v>0</v>
      </c>
      <c r="I116" s="105">
        <f>COUNTIFS('SERVICE ENTRY'!$C$4:$C$1200,'County Report'!A116,'SERVICE ENTRY'!$G$4:$G$1200,"Unknown or Other")</f>
        <v>0</v>
      </c>
      <c r="J116" s="214">
        <f>COUNTIFS('SERVICE ENTRY'!$C$4:$C$1200,'County Report'!A116,'SERVICE ENTRY'!$F$4:$F$1200,"Colombian")+COUNTIFS('SERVICE ENTRY'!$C$4:$C$1200,'County Report'!A116,'SERVICE ENTRY'!$F$4:$F$1200,"Cuban")+COUNTIFS('SERVICE ENTRY'!$C$4:$C$1200,'County Report'!A116,'SERVICE ENTRY'!$F$4:$F$1200,"Dominican")+COUNTIFS('SERVICE ENTRY'!$C$4:$C$1200,'County Report'!A116,'SERVICE ENTRY'!$F$4:$F$1200,"Mexican/Mexican-American/Chicano")+COUNTIFS('SERVICE ENTRY'!$C$4:$C$1200,'County Report'!A116,'SERVICE ENTRY'!$F$4:$F$1200,"Puerto Rican")+COUNTIFS('SERVICE ENTRY'!$C$4:$C$1200,'County Report'!A116,'SERVICE ENTRY'!$F$4:$F$1200,"Salvadoran")+COUNTIFS('SERVICE ENTRY'!$C$4:$C$1200,'County Report'!A116,'SERVICE ENTRY'!$F$4:$F$1200,"Other Hispanic/Latino/Spanish origin")</f>
        <v>0</v>
      </c>
      <c r="K116" s="91">
        <f>COUNTIFS('SERVICE ENTRY'!$C$4:$C$1200,'County Report'!A116,'SERVICE ENTRY'!$F$4:$F$1200,"Not of Hispanic/Latino/Spanish origin")</f>
        <v>0</v>
      </c>
      <c r="L116" s="247">
        <f>COUNTIFS('SERVICE ENTRY'!$C$4:$C$1200,'County Report'!A116,'SERVICE ENTRY'!$F$4:$F$1200,"Unknown or Other")</f>
        <v>0</v>
      </c>
    </row>
    <row r="117" spans="1:12" x14ac:dyDescent="0.25">
      <c r="A117" s="167" t="s">
        <v>669</v>
      </c>
      <c r="B117" s="126">
        <f>COUNTIF('SERVICE ENTRY'!$C$4:$C$1200,'County Report'!A117)</f>
        <v>0</v>
      </c>
      <c r="C117" s="124">
        <f>COUNTIFS('SERVICE ENTRY'!$C$4:$C$1200,'County Report'!A117,'SERVICE ENTRY'!$G$4:$G$1200,"American Indian or Alaska Native")</f>
        <v>0</v>
      </c>
      <c r="D117" s="91">
        <f>COUNTIFS('SERVICE ENTRY'!$C$4:$C$1200,'County Report'!A117,'SERVICE ENTRY'!$G$4:$G$1200,"Asian")</f>
        <v>0</v>
      </c>
      <c r="E117" s="91">
        <f>COUNTIFS('SERVICE ENTRY'!$C$4:$C$1200,'County Report'!A117,'SERVICE ENTRY'!$G$4:$G$1200,"Black/African-American")</f>
        <v>0</v>
      </c>
      <c r="F117" s="91">
        <f>COUNTIFS('SERVICE ENTRY'!$C$4:$C$1200,'County Report'!A117,'SERVICE ENTRY'!$G$4:$G$1200,"Middle Eastern or North African")</f>
        <v>0</v>
      </c>
      <c r="G117" s="105">
        <f>COUNTIFS('SERVICE ENTRY'!$C$4:$C$1200,'County Report'!A117,'SERVICE ENTRY'!$G$4:$G$1200,"Native Hawaiian or Pacific Islander")</f>
        <v>0</v>
      </c>
      <c r="H117" s="91">
        <f>COUNTIFS('SERVICE ENTRY'!$C$4:$C$1200,'County Report'!A117,'SERVICE ENTRY'!$G$4:$G$1200,"White")</f>
        <v>0</v>
      </c>
      <c r="I117" s="105">
        <f>COUNTIFS('SERVICE ENTRY'!$C$4:$C$1200,'County Report'!A117,'SERVICE ENTRY'!$G$4:$G$1200,"Unknown or Other")</f>
        <v>0</v>
      </c>
      <c r="J117" s="214">
        <f>COUNTIFS('SERVICE ENTRY'!$C$4:$C$1200,'County Report'!A117,'SERVICE ENTRY'!$F$4:$F$1200,"Colombian")+COUNTIFS('SERVICE ENTRY'!$C$4:$C$1200,'County Report'!A117,'SERVICE ENTRY'!$F$4:$F$1200,"Cuban")+COUNTIFS('SERVICE ENTRY'!$C$4:$C$1200,'County Report'!A117,'SERVICE ENTRY'!$F$4:$F$1200,"Dominican")+COUNTIFS('SERVICE ENTRY'!$C$4:$C$1200,'County Report'!A117,'SERVICE ENTRY'!$F$4:$F$1200,"Mexican/Mexican-American/Chicano")+COUNTIFS('SERVICE ENTRY'!$C$4:$C$1200,'County Report'!A117,'SERVICE ENTRY'!$F$4:$F$1200,"Puerto Rican")+COUNTIFS('SERVICE ENTRY'!$C$4:$C$1200,'County Report'!A117,'SERVICE ENTRY'!$F$4:$F$1200,"Salvadoran")+COUNTIFS('SERVICE ENTRY'!$C$4:$C$1200,'County Report'!A117,'SERVICE ENTRY'!$F$4:$F$1200,"Other Hispanic/Latino/Spanish origin")</f>
        <v>0</v>
      </c>
      <c r="K117" s="91">
        <f>COUNTIFS('SERVICE ENTRY'!$C$4:$C$1200,'County Report'!A117,'SERVICE ENTRY'!$F$4:$F$1200,"Not of Hispanic/Latino/Spanish origin")</f>
        <v>0</v>
      </c>
      <c r="L117" s="247">
        <f>COUNTIFS('SERVICE ENTRY'!$C$4:$C$1200,'County Report'!A117,'SERVICE ENTRY'!$F$4:$F$1200,"Unknown or Other")</f>
        <v>0</v>
      </c>
    </row>
    <row r="118" spans="1:12" x14ac:dyDescent="0.25">
      <c r="A118" s="167" t="s">
        <v>670</v>
      </c>
      <c r="B118" s="126">
        <f>COUNTIF('SERVICE ENTRY'!$C$4:$C$1200,'County Report'!A118)</f>
        <v>0</v>
      </c>
      <c r="C118" s="124">
        <f>COUNTIFS('SERVICE ENTRY'!$C$4:$C$1200,'County Report'!A118,'SERVICE ENTRY'!$G$4:$G$1200,"American Indian or Alaska Native")</f>
        <v>0</v>
      </c>
      <c r="D118" s="91">
        <f>COUNTIFS('SERVICE ENTRY'!$C$4:$C$1200,'County Report'!A118,'SERVICE ENTRY'!$G$4:$G$1200,"Asian")</f>
        <v>0</v>
      </c>
      <c r="E118" s="91">
        <f>COUNTIFS('SERVICE ENTRY'!$C$4:$C$1200,'County Report'!A118,'SERVICE ENTRY'!$G$4:$G$1200,"Black/African-American")</f>
        <v>0</v>
      </c>
      <c r="F118" s="91">
        <f>COUNTIFS('SERVICE ENTRY'!$C$4:$C$1200,'County Report'!A118,'SERVICE ENTRY'!$G$4:$G$1200,"Middle Eastern or North African")</f>
        <v>0</v>
      </c>
      <c r="G118" s="105">
        <f>COUNTIFS('SERVICE ENTRY'!$C$4:$C$1200,'County Report'!A118,'SERVICE ENTRY'!$G$4:$G$1200,"Native Hawaiian or Pacific Islander")</f>
        <v>0</v>
      </c>
      <c r="H118" s="91">
        <f>COUNTIFS('SERVICE ENTRY'!$C$4:$C$1200,'County Report'!A118,'SERVICE ENTRY'!$G$4:$G$1200,"White")</f>
        <v>0</v>
      </c>
      <c r="I118" s="105">
        <f>COUNTIFS('SERVICE ENTRY'!$C$4:$C$1200,'County Report'!A118,'SERVICE ENTRY'!$G$4:$G$1200,"Unknown or Other")</f>
        <v>0</v>
      </c>
      <c r="J118" s="214">
        <f>COUNTIFS('SERVICE ENTRY'!$C$4:$C$1200,'County Report'!A118,'SERVICE ENTRY'!$F$4:$F$1200,"Colombian")+COUNTIFS('SERVICE ENTRY'!$C$4:$C$1200,'County Report'!A118,'SERVICE ENTRY'!$F$4:$F$1200,"Cuban")+COUNTIFS('SERVICE ENTRY'!$C$4:$C$1200,'County Report'!A118,'SERVICE ENTRY'!$F$4:$F$1200,"Dominican")+COUNTIFS('SERVICE ENTRY'!$C$4:$C$1200,'County Report'!A118,'SERVICE ENTRY'!$F$4:$F$1200,"Mexican/Mexican-American/Chicano")+COUNTIFS('SERVICE ENTRY'!$C$4:$C$1200,'County Report'!A118,'SERVICE ENTRY'!$F$4:$F$1200,"Puerto Rican")+COUNTIFS('SERVICE ENTRY'!$C$4:$C$1200,'County Report'!A118,'SERVICE ENTRY'!$F$4:$F$1200,"Salvadoran")+COUNTIFS('SERVICE ENTRY'!$C$4:$C$1200,'County Report'!A118,'SERVICE ENTRY'!$F$4:$F$1200,"Other Hispanic/Latino/Spanish origin")</f>
        <v>0</v>
      </c>
      <c r="K118" s="91">
        <f>COUNTIFS('SERVICE ENTRY'!$C$4:$C$1200,'County Report'!A118,'SERVICE ENTRY'!$F$4:$F$1200,"Not of Hispanic/Latino/Spanish origin")</f>
        <v>0</v>
      </c>
      <c r="L118" s="247">
        <f>COUNTIFS('SERVICE ENTRY'!$C$4:$C$1200,'County Report'!A118,'SERVICE ENTRY'!$F$4:$F$1200,"Unknown or Other")</f>
        <v>0</v>
      </c>
    </row>
    <row r="119" spans="1:12" x14ac:dyDescent="0.25">
      <c r="A119" s="167" t="s">
        <v>671</v>
      </c>
      <c r="B119" s="126">
        <f>COUNTIF('SERVICE ENTRY'!$C$4:$C$1200,'County Report'!A119)</f>
        <v>0</v>
      </c>
      <c r="C119" s="124">
        <f>COUNTIFS('SERVICE ENTRY'!$C$4:$C$1200,'County Report'!A119,'SERVICE ENTRY'!$G$4:$G$1200,"American Indian or Alaska Native")</f>
        <v>0</v>
      </c>
      <c r="D119" s="91">
        <f>COUNTIFS('SERVICE ENTRY'!$C$4:$C$1200,'County Report'!A119,'SERVICE ENTRY'!$G$4:$G$1200,"Asian")</f>
        <v>0</v>
      </c>
      <c r="E119" s="91">
        <f>COUNTIFS('SERVICE ENTRY'!$C$4:$C$1200,'County Report'!A119,'SERVICE ENTRY'!$G$4:$G$1200,"Black/African-American")</f>
        <v>0</v>
      </c>
      <c r="F119" s="91">
        <f>COUNTIFS('SERVICE ENTRY'!$C$4:$C$1200,'County Report'!A119,'SERVICE ENTRY'!$G$4:$G$1200,"Middle Eastern or North African")</f>
        <v>0</v>
      </c>
      <c r="G119" s="105">
        <f>COUNTIFS('SERVICE ENTRY'!$C$4:$C$1200,'County Report'!A119,'SERVICE ENTRY'!$G$4:$G$1200,"Native Hawaiian or Pacific Islander")</f>
        <v>0</v>
      </c>
      <c r="H119" s="91">
        <f>COUNTIFS('SERVICE ENTRY'!$C$4:$C$1200,'County Report'!A119,'SERVICE ENTRY'!$G$4:$G$1200,"White")</f>
        <v>0</v>
      </c>
      <c r="I119" s="105">
        <f>COUNTIFS('SERVICE ENTRY'!$C$4:$C$1200,'County Report'!A119,'SERVICE ENTRY'!$G$4:$G$1200,"Unknown or Other")</f>
        <v>0</v>
      </c>
      <c r="J119" s="214">
        <f>COUNTIFS('SERVICE ENTRY'!$C$4:$C$1200,'County Report'!A119,'SERVICE ENTRY'!$F$4:$F$1200,"Colombian")+COUNTIFS('SERVICE ENTRY'!$C$4:$C$1200,'County Report'!A119,'SERVICE ENTRY'!$F$4:$F$1200,"Cuban")+COUNTIFS('SERVICE ENTRY'!$C$4:$C$1200,'County Report'!A119,'SERVICE ENTRY'!$F$4:$F$1200,"Dominican")+COUNTIFS('SERVICE ENTRY'!$C$4:$C$1200,'County Report'!A119,'SERVICE ENTRY'!$F$4:$F$1200,"Mexican/Mexican-American/Chicano")+COUNTIFS('SERVICE ENTRY'!$C$4:$C$1200,'County Report'!A119,'SERVICE ENTRY'!$F$4:$F$1200,"Puerto Rican")+COUNTIFS('SERVICE ENTRY'!$C$4:$C$1200,'County Report'!A119,'SERVICE ENTRY'!$F$4:$F$1200,"Salvadoran")+COUNTIFS('SERVICE ENTRY'!$C$4:$C$1200,'County Report'!A119,'SERVICE ENTRY'!$F$4:$F$1200,"Other Hispanic/Latino/Spanish origin")</f>
        <v>0</v>
      </c>
      <c r="K119" s="91">
        <f>COUNTIFS('SERVICE ENTRY'!$C$4:$C$1200,'County Report'!A119,'SERVICE ENTRY'!$F$4:$F$1200,"Not of Hispanic/Latino/Spanish origin")</f>
        <v>0</v>
      </c>
      <c r="L119" s="247">
        <f>COUNTIFS('SERVICE ENTRY'!$C$4:$C$1200,'County Report'!A119,'SERVICE ENTRY'!$F$4:$F$1200,"Unknown or Other")</f>
        <v>0</v>
      </c>
    </row>
    <row r="120" spans="1:12" x14ac:dyDescent="0.25">
      <c r="A120" s="167" t="s">
        <v>672</v>
      </c>
      <c r="B120" s="126">
        <f>COUNTIF('SERVICE ENTRY'!$C$4:$C$1200,'County Report'!A120)</f>
        <v>0</v>
      </c>
      <c r="C120" s="124">
        <f>COUNTIFS('SERVICE ENTRY'!$C$4:$C$1200,'County Report'!A120,'SERVICE ENTRY'!$G$4:$G$1200,"American Indian or Alaska Native")</f>
        <v>0</v>
      </c>
      <c r="D120" s="91">
        <f>COUNTIFS('SERVICE ENTRY'!$C$4:$C$1200,'County Report'!A120,'SERVICE ENTRY'!$G$4:$G$1200,"Asian")</f>
        <v>0</v>
      </c>
      <c r="E120" s="91">
        <f>COUNTIFS('SERVICE ENTRY'!$C$4:$C$1200,'County Report'!A120,'SERVICE ENTRY'!$G$4:$G$1200,"Black/African-American")</f>
        <v>0</v>
      </c>
      <c r="F120" s="91">
        <f>COUNTIFS('SERVICE ENTRY'!$C$4:$C$1200,'County Report'!A120,'SERVICE ENTRY'!$G$4:$G$1200,"Middle Eastern or North African")</f>
        <v>0</v>
      </c>
      <c r="G120" s="105">
        <f>COUNTIFS('SERVICE ENTRY'!$C$4:$C$1200,'County Report'!A120,'SERVICE ENTRY'!$G$4:$G$1200,"Native Hawaiian or Pacific Islander")</f>
        <v>0</v>
      </c>
      <c r="H120" s="91">
        <f>COUNTIFS('SERVICE ENTRY'!$C$4:$C$1200,'County Report'!A120,'SERVICE ENTRY'!$G$4:$G$1200,"White")</f>
        <v>0</v>
      </c>
      <c r="I120" s="105">
        <f>COUNTIFS('SERVICE ENTRY'!$C$4:$C$1200,'County Report'!A120,'SERVICE ENTRY'!$G$4:$G$1200,"Unknown or Other")</f>
        <v>0</v>
      </c>
      <c r="J120" s="214">
        <f>COUNTIFS('SERVICE ENTRY'!$C$4:$C$1200,'County Report'!A120,'SERVICE ENTRY'!$F$4:$F$1200,"Colombian")+COUNTIFS('SERVICE ENTRY'!$C$4:$C$1200,'County Report'!A120,'SERVICE ENTRY'!$F$4:$F$1200,"Cuban")+COUNTIFS('SERVICE ENTRY'!$C$4:$C$1200,'County Report'!A120,'SERVICE ENTRY'!$F$4:$F$1200,"Dominican")+COUNTIFS('SERVICE ENTRY'!$C$4:$C$1200,'County Report'!A120,'SERVICE ENTRY'!$F$4:$F$1200,"Mexican/Mexican-American/Chicano")+COUNTIFS('SERVICE ENTRY'!$C$4:$C$1200,'County Report'!A120,'SERVICE ENTRY'!$F$4:$F$1200,"Puerto Rican")+COUNTIFS('SERVICE ENTRY'!$C$4:$C$1200,'County Report'!A120,'SERVICE ENTRY'!$F$4:$F$1200,"Salvadoran")+COUNTIFS('SERVICE ENTRY'!$C$4:$C$1200,'County Report'!A120,'SERVICE ENTRY'!$F$4:$F$1200,"Other Hispanic/Latino/Spanish origin")</f>
        <v>0</v>
      </c>
      <c r="K120" s="91">
        <f>COUNTIFS('SERVICE ENTRY'!$C$4:$C$1200,'County Report'!A120,'SERVICE ENTRY'!$F$4:$F$1200,"Not of Hispanic/Latino/Spanish origin")</f>
        <v>0</v>
      </c>
      <c r="L120" s="247">
        <f>COUNTIFS('SERVICE ENTRY'!$C$4:$C$1200,'County Report'!A120,'SERVICE ENTRY'!$F$4:$F$1200,"Unknown or Other")</f>
        <v>0</v>
      </c>
    </row>
    <row r="121" spans="1:12" x14ac:dyDescent="0.25">
      <c r="A121" s="167" t="s">
        <v>673</v>
      </c>
      <c r="B121" s="126">
        <f>COUNTIF('SERVICE ENTRY'!$C$4:$C$1200,'County Report'!A121)</f>
        <v>0</v>
      </c>
      <c r="C121" s="124">
        <f>COUNTIFS('SERVICE ENTRY'!$C$4:$C$1200,'County Report'!A121,'SERVICE ENTRY'!$G$4:$G$1200,"American Indian or Alaska Native")</f>
        <v>0</v>
      </c>
      <c r="D121" s="91">
        <f>COUNTIFS('SERVICE ENTRY'!$C$4:$C$1200,'County Report'!A121,'SERVICE ENTRY'!$G$4:$G$1200,"Asian")</f>
        <v>0</v>
      </c>
      <c r="E121" s="91">
        <f>COUNTIFS('SERVICE ENTRY'!$C$4:$C$1200,'County Report'!A121,'SERVICE ENTRY'!$G$4:$G$1200,"Black/African-American")</f>
        <v>0</v>
      </c>
      <c r="F121" s="91">
        <f>COUNTIFS('SERVICE ENTRY'!$C$4:$C$1200,'County Report'!A121,'SERVICE ENTRY'!$G$4:$G$1200,"Middle Eastern or North African")</f>
        <v>0</v>
      </c>
      <c r="G121" s="105">
        <f>COUNTIFS('SERVICE ENTRY'!$C$4:$C$1200,'County Report'!A121,'SERVICE ENTRY'!$G$4:$G$1200,"Native Hawaiian or Pacific Islander")</f>
        <v>0</v>
      </c>
      <c r="H121" s="91">
        <f>COUNTIFS('SERVICE ENTRY'!$C$4:$C$1200,'County Report'!A121,'SERVICE ENTRY'!$G$4:$G$1200,"White")</f>
        <v>0</v>
      </c>
      <c r="I121" s="105">
        <f>COUNTIFS('SERVICE ENTRY'!$C$4:$C$1200,'County Report'!A121,'SERVICE ENTRY'!$G$4:$G$1200,"Unknown or Other")</f>
        <v>0</v>
      </c>
      <c r="J121" s="214">
        <f>COUNTIFS('SERVICE ENTRY'!$C$4:$C$1200,'County Report'!A121,'SERVICE ENTRY'!$F$4:$F$1200,"Colombian")+COUNTIFS('SERVICE ENTRY'!$C$4:$C$1200,'County Report'!A121,'SERVICE ENTRY'!$F$4:$F$1200,"Cuban")+COUNTIFS('SERVICE ENTRY'!$C$4:$C$1200,'County Report'!A121,'SERVICE ENTRY'!$F$4:$F$1200,"Dominican")+COUNTIFS('SERVICE ENTRY'!$C$4:$C$1200,'County Report'!A121,'SERVICE ENTRY'!$F$4:$F$1200,"Mexican/Mexican-American/Chicano")+COUNTIFS('SERVICE ENTRY'!$C$4:$C$1200,'County Report'!A121,'SERVICE ENTRY'!$F$4:$F$1200,"Puerto Rican")+COUNTIFS('SERVICE ENTRY'!$C$4:$C$1200,'County Report'!A121,'SERVICE ENTRY'!$F$4:$F$1200,"Salvadoran")+COUNTIFS('SERVICE ENTRY'!$C$4:$C$1200,'County Report'!A121,'SERVICE ENTRY'!$F$4:$F$1200,"Other Hispanic/Latino/Spanish origin")</f>
        <v>0</v>
      </c>
      <c r="K121" s="91">
        <f>COUNTIFS('SERVICE ENTRY'!$C$4:$C$1200,'County Report'!A121,'SERVICE ENTRY'!$F$4:$F$1200,"Not of Hispanic/Latino/Spanish origin")</f>
        <v>0</v>
      </c>
      <c r="L121" s="247">
        <f>COUNTIFS('SERVICE ENTRY'!$C$4:$C$1200,'County Report'!A121,'SERVICE ENTRY'!$F$4:$F$1200,"Unknown or Other")</f>
        <v>0</v>
      </c>
    </row>
    <row r="122" spans="1:12" x14ac:dyDescent="0.25">
      <c r="A122" s="167" t="s">
        <v>674</v>
      </c>
      <c r="B122" s="126">
        <f>COUNTIF('SERVICE ENTRY'!$C$4:$C$1200,'County Report'!A122)</f>
        <v>0</v>
      </c>
      <c r="C122" s="124">
        <f>COUNTIFS('SERVICE ENTRY'!$C$4:$C$1200,'County Report'!A122,'SERVICE ENTRY'!$G$4:$G$1200,"American Indian or Alaska Native")</f>
        <v>0</v>
      </c>
      <c r="D122" s="91">
        <f>COUNTIFS('SERVICE ENTRY'!$C$4:$C$1200,'County Report'!A122,'SERVICE ENTRY'!$G$4:$G$1200,"Asian")</f>
        <v>0</v>
      </c>
      <c r="E122" s="91">
        <f>COUNTIFS('SERVICE ENTRY'!$C$4:$C$1200,'County Report'!A122,'SERVICE ENTRY'!$G$4:$G$1200,"Black/African-American")</f>
        <v>0</v>
      </c>
      <c r="F122" s="91">
        <f>COUNTIFS('SERVICE ENTRY'!$C$4:$C$1200,'County Report'!A122,'SERVICE ENTRY'!$G$4:$G$1200,"Middle Eastern or North African")</f>
        <v>0</v>
      </c>
      <c r="G122" s="105">
        <f>COUNTIFS('SERVICE ENTRY'!$C$4:$C$1200,'County Report'!A122,'SERVICE ENTRY'!$G$4:$G$1200,"Native Hawaiian or Pacific Islander")</f>
        <v>0</v>
      </c>
      <c r="H122" s="91">
        <f>COUNTIFS('SERVICE ENTRY'!$C$4:$C$1200,'County Report'!A122,'SERVICE ENTRY'!$G$4:$G$1200,"White")</f>
        <v>0</v>
      </c>
      <c r="I122" s="105">
        <f>COUNTIFS('SERVICE ENTRY'!$C$4:$C$1200,'County Report'!A122,'SERVICE ENTRY'!$G$4:$G$1200,"Unknown or Other")</f>
        <v>0</v>
      </c>
      <c r="J122" s="214">
        <f>COUNTIFS('SERVICE ENTRY'!$C$4:$C$1200,'County Report'!A122,'SERVICE ENTRY'!$F$4:$F$1200,"Colombian")+COUNTIFS('SERVICE ENTRY'!$C$4:$C$1200,'County Report'!A122,'SERVICE ENTRY'!$F$4:$F$1200,"Cuban")+COUNTIFS('SERVICE ENTRY'!$C$4:$C$1200,'County Report'!A122,'SERVICE ENTRY'!$F$4:$F$1200,"Dominican")+COUNTIFS('SERVICE ENTRY'!$C$4:$C$1200,'County Report'!A122,'SERVICE ENTRY'!$F$4:$F$1200,"Mexican/Mexican-American/Chicano")+COUNTIFS('SERVICE ENTRY'!$C$4:$C$1200,'County Report'!A122,'SERVICE ENTRY'!$F$4:$F$1200,"Puerto Rican")+COUNTIFS('SERVICE ENTRY'!$C$4:$C$1200,'County Report'!A122,'SERVICE ENTRY'!$F$4:$F$1200,"Salvadoran")+COUNTIFS('SERVICE ENTRY'!$C$4:$C$1200,'County Report'!A122,'SERVICE ENTRY'!$F$4:$F$1200,"Other Hispanic/Latino/Spanish origin")</f>
        <v>0</v>
      </c>
      <c r="K122" s="91">
        <f>COUNTIFS('SERVICE ENTRY'!$C$4:$C$1200,'County Report'!A122,'SERVICE ENTRY'!$F$4:$F$1200,"Not of Hispanic/Latino/Spanish origin")</f>
        <v>0</v>
      </c>
      <c r="L122" s="247">
        <f>COUNTIFS('SERVICE ENTRY'!$C$4:$C$1200,'County Report'!A122,'SERVICE ENTRY'!$F$4:$F$1200,"Unknown or Other")</f>
        <v>0</v>
      </c>
    </row>
    <row r="123" spans="1:12" x14ac:dyDescent="0.25">
      <c r="A123" s="167" t="s">
        <v>675</v>
      </c>
      <c r="B123" s="126">
        <f>COUNTIF('SERVICE ENTRY'!$C$4:$C$1200,'County Report'!A123)</f>
        <v>0</v>
      </c>
      <c r="C123" s="124">
        <f>COUNTIFS('SERVICE ENTRY'!$C$4:$C$1200,'County Report'!A123,'SERVICE ENTRY'!$G$4:$G$1200,"American Indian or Alaska Native")</f>
        <v>0</v>
      </c>
      <c r="D123" s="91">
        <f>COUNTIFS('SERVICE ENTRY'!$C$4:$C$1200,'County Report'!A123,'SERVICE ENTRY'!$G$4:$G$1200,"Asian")</f>
        <v>0</v>
      </c>
      <c r="E123" s="91">
        <f>COUNTIFS('SERVICE ENTRY'!$C$4:$C$1200,'County Report'!A123,'SERVICE ENTRY'!$G$4:$G$1200,"Black/African-American")</f>
        <v>0</v>
      </c>
      <c r="F123" s="91">
        <f>COUNTIFS('SERVICE ENTRY'!$C$4:$C$1200,'County Report'!A123,'SERVICE ENTRY'!$G$4:$G$1200,"Middle Eastern or North African")</f>
        <v>0</v>
      </c>
      <c r="G123" s="105">
        <f>COUNTIFS('SERVICE ENTRY'!$C$4:$C$1200,'County Report'!A123,'SERVICE ENTRY'!$G$4:$G$1200,"Native Hawaiian or Pacific Islander")</f>
        <v>0</v>
      </c>
      <c r="H123" s="91">
        <f>COUNTIFS('SERVICE ENTRY'!$C$4:$C$1200,'County Report'!A123,'SERVICE ENTRY'!$G$4:$G$1200,"White")</f>
        <v>0</v>
      </c>
      <c r="I123" s="105">
        <f>COUNTIFS('SERVICE ENTRY'!$C$4:$C$1200,'County Report'!A123,'SERVICE ENTRY'!$G$4:$G$1200,"Unknown or Other")</f>
        <v>0</v>
      </c>
      <c r="J123" s="214">
        <f>COUNTIFS('SERVICE ENTRY'!$C$4:$C$1200,'County Report'!A123,'SERVICE ENTRY'!$F$4:$F$1200,"Colombian")+COUNTIFS('SERVICE ENTRY'!$C$4:$C$1200,'County Report'!A123,'SERVICE ENTRY'!$F$4:$F$1200,"Cuban")+COUNTIFS('SERVICE ENTRY'!$C$4:$C$1200,'County Report'!A123,'SERVICE ENTRY'!$F$4:$F$1200,"Dominican")+COUNTIFS('SERVICE ENTRY'!$C$4:$C$1200,'County Report'!A123,'SERVICE ENTRY'!$F$4:$F$1200,"Mexican/Mexican-American/Chicano")+COUNTIFS('SERVICE ENTRY'!$C$4:$C$1200,'County Report'!A123,'SERVICE ENTRY'!$F$4:$F$1200,"Puerto Rican")+COUNTIFS('SERVICE ENTRY'!$C$4:$C$1200,'County Report'!A123,'SERVICE ENTRY'!$F$4:$F$1200,"Salvadoran")+COUNTIFS('SERVICE ENTRY'!$C$4:$C$1200,'County Report'!A123,'SERVICE ENTRY'!$F$4:$F$1200,"Other Hispanic/Latino/Spanish origin")</f>
        <v>0</v>
      </c>
      <c r="K123" s="91">
        <f>COUNTIFS('SERVICE ENTRY'!$C$4:$C$1200,'County Report'!A123,'SERVICE ENTRY'!$F$4:$F$1200,"Not of Hispanic/Latino/Spanish origin")</f>
        <v>0</v>
      </c>
      <c r="L123" s="247">
        <f>COUNTIFS('SERVICE ENTRY'!$C$4:$C$1200,'County Report'!A123,'SERVICE ENTRY'!$F$4:$F$1200,"Unknown or Other")</f>
        <v>0</v>
      </c>
    </row>
    <row r="124" spans="1:12" x14ac:dyDescent="0.25">
      <c r="A124" s="167" t="s">
        <v>676</v>
      </c>
      <c r="B124" s="126">
        <f>COUNTIF('SERVICE ENTRY'!$C$4:$C$1200,'County Report'!A124)</f>
        <v>0</v>
      </c>
      <c r="C124" s="124">
        <f>COUNTIFS('SERVICE ENTRY'!$C$4:$C$1200,'County Report'!A124,'SERVICE ENTRY'!$G$4:$G$1200,"American Indian or Alaska Native")</f>
        <v>0</v>
      </c>
      <c r="D124" s="91">
        <f>COUNTIFS('SERVICE ENTRY'!$C$4:$C$1200,'County Report'!A124,'SERVICE ENTRY'!$G$4:$G$1200,"Asian")</f>
        <v>0</v>
      </c>
      <c r="E124" s="91">
        <f>COUNTIFS('SERVICE ENTRY'!$C$4:$C$1200,'County Report'!A124,'SERVICE ENTRY'!$G$4:$G$1200,"Black/African-American")</f>
        <v>0</v>
      </c>
      <c r="F124" s="91">
        <f>COUNTIFS('SERVICE ENTRY'!$C$4:$C$1200,'County Report'!A124,'SERVICE ENTRY'!$G$4:$G$1200,"Middle Eastern or North African")</f>
        <v>0</v>
      </c>
      <c r="G124" s="105">
        <f>COUNTIFS('SERVICE ENTRY'!$C$4:$C$1200,'County Report'!A124,'SERVICE ENTRY'!$G$4:$G$1200,"Native Hawaiian or Pacific Islander")</f>
        <v>0</v>
      </c>
      <c r="H124" s="91">
        <f>COUNTIFS('SERVICE ENTRY'!$C$4:$C$1200,'County Report'!A124,'SERVICE ENTRY'!$G$4:$G$1200,"White")</f>
        <v>0</v>
      </c>
      <c r="I124" s="105">
        <f>COUNTIFS('SERVICE ENTRY'!$C$4:$C$1200,'County Report'!A124,'SERVICE ENTRY'!$G$4:$G$1200,"Unknown or Other")</f>
        <v>0</v>
      </c>
      <c r="J124" s="214">
        <f>COUNTIFS('SERVICE ENTRY'!$C$4:$C$1200,'County Report'!A124,'SERVICE ENTRY'!$F$4:$F$1200,"Colombian")+COUNTIFS('SERVICE ENTRY'!$C$4:$C$1200,'County Report'!A124,'SERVICE ENTRY'!$F$4:$F$1200,"Cuban")+COUNTIFS('SERVICE ENTRY'!$C$4:$C$1200,'County Report'!A124,'SERVICE ENTRY'!$F$4:$F$1200,"Dominican")+COUNTIFS('SERVICE ENTRY'!$C$4:$C$1200,'County Report'!A124,'SERVICE ENTRY'!$F$4:$F$1200,"Mexican/Mexican-American/Chicano")+COUNTIFS('SERVICE ENTRY'!$C$4:$C$1200,'County Report'!A124,'SERVICE ENTRY'!$F$4:$F$1200,"Puerto Rican")+COUNTIFS('SERVICE ENTRY'!$C$4:$C$1200,'County Report'!A124,'SERVICE ENTRY'!$F$4:$F$1200,"Salvadoran")+COUNTIFS('SERVICE ENTRY'!$C$4:$C$1200,'County Report'!A124,'SERVICE ENTRY'!$F$4:$F$1200,"Other Hispanic/Latino/Spanish origin")</f>
        <v>0</v>
      </c>
      <c r="K124" s="91">
        <f>COUNTIFS('SERVICE ENTRY'!$C$4:$C$1200,'County Report'!A124,'SERVICE ENTRY'!$F$4:$F$1200,"Not of Hispanic/Latino/Spanish origin")</f>
        <v>0</v>
      </c>
      <c r="L124" s="247">
        <f>COUNTIFS('SERVICE ENTRY'!$C$4:$C$1200,'County Report'!A124,'SERVICE ENTRY'!$F$4:$F$1200,"Unknown or Other")</f>
        <v>0</v>
      </c>
    </row>
    <row r="125" spans="1:12" x14ac:dyDescent="0.25">
      <c r="A125" s="167" t="s">
        <v>677</v>
      </c>
      <c r="B125" s="126">
        <f>COUNTIF('SERVICE ENTRY'!$C$4:$C$1200,'County Report'!A125)</f>
        <v>0</v>
      </c>
      <c r="C125" s="124">
        <f>COUNTIFS('SERVICE ENTRY'!$C$4:$C$1200,'County Report'!A125,'SERVICE ENTRY'!$G$4:$G$1200,"American Indian or Alaska Native")</f>
        <v>0</v>
      </c>
      <c r="D125" s="91">
        <f>COUNTIFS('SERVICE ENTRY'!$C$4:$C$1200,'County Report'!A125,'SERVICE ENTRY'!$G$4:$G$1200,"Asian")</f>
        <v>0</v>
      </c>
      <c r="E125" s="91">
        <f>COUNTIFS('SERVICE ENTRY'!$C$4:$C$1200,'County Report'!A125,'SERVICE ENTRY'!$G$4:$G$1200,"Black/African-American")</f>
        <v>0</v>
      </c>
      <c r="F125" s="91">
        <f>COUNTIFS('SERVICE ENTRY'!$C$4:$C$1200,'County Report'!A125,'SERVICE ENTRY'!$G$4:$G$1200,"Middle Eastern or North African")</f>
        <v>0</v>
      </c>
      <c r="G125" s="105">
        <f>COUNTIFS('SERVICE ENTRY'!$C$4:$C$1200,'County Report'!A125,'SERVICE ENTRY'!$G$4:$G$1200,"Native Hawaiian or Pacific Islander")</f>
        <v>0</v>
      </c>
      <c r="H125" s="91">
        <f>COUNTIFS('SERVICE ENTRY'!$C$4:$C$1200,'County Report'!A125,'SERVICE ENTRY'!$G$4:$G$1200,"White")</f>
        <v>0</v>
      </c>
      <c r="I125" s="105">
        <f>COUNTIFS('SERVICE ENTRY'!$C$4:$C$1200,'County Report'!A125,'SERVICE ENTRY'!$G$4:$G$1200,"Unknown or Other")</f>
        <v>0</v>
      </c>
      <c r="J125" s="214">
        <f>COUNTIFS('SERVICE ENTRY'!$C$4:$C$1200,'County Report'!A125,'SERVICE ENTRY'!$F$4:$F$1200,"Colombian")+COUNTIFS('SERVICE ENTRY'!$C$4:$C$1200,'County Report'!A125,'SERVICE ENTRY'!$F$4:$F$1200,"Cuban")+COUNTIFS('SERVICE ENTRY'!$C$4:$C$1200,'County Report'!A125,'SERVICE ENTRY'!$F$4:$F$1200,"Dominican")+COUNTIFS('SERVICE ENTRY'!$C$4:$C$1200,'County Report'!A125,'SERVICE ENTRY'!$F$4:$F$1200,"Mexican/Mexican-American/Chicano")+COUNTIFS('SERVICE ENTRY'!$C$4:$C$1200,'County Report'!A125,'SERVICE ENTRY'!$F$4:$F$1200,"Puerto Rican")+COUNTIFS('SERVICE ENTRY'!$C$4:$C$1200,'County Report'!A125,'SERVICE ENTRY'!$F$4:$F$1200,"Salvadoran")+COUNTIFS('SERVICE ENTRY'!$C$4:$C$1200,'County Report'!A125,'SERVICE ENTRY'!$F$4:$F$1200,"Other Hispanic/Latino/Spanish origin")</f>
        <v>0</v>
      </c>
      <c r="K125" s="91">
        <f>COUNTIFS('SERVICE ENTRY'!$C$4:$C$1200,'County Report'!A125,'SERVICE ENTRY'!$F$4:$F$1200,"Not of Hispanic/Latino/Spanish origin")</f>
        <v>0</v>
      </c>
      <c r="L125" s="247">
        <f>COUNTIFS('SERVICE ENTRY'!$C$4:$C$1200,'County Report'!A125,'SERVICE ENTRY'!$F$4:$F$1200,"Unknown or Other")</f>
        <v>0</v>
      </c>
    </row>
    <row r="126" spans="1:12" x14ac:dyDescent="0.25">
      <c r="A126" s="167" t="s">
        <v>678</v>
      </c>
      <c r="B126" s="126">
        <f>COUNTIF('SERVICE ENTRY'!$C$4:$C$1200,'County Report'!A126)</f>
        <v>0</v>
      </c>
      <c r="C126" s="124">
        <f>COUNTIFS('SERVICE ENTRY'!$C$4:$C$1200,'County Report'!A126,'SERVICE ENTRY'!$G$4:$G$1200,"American Indian or Alaska Native")</f>
        <v>0</v>
      </c>
      <c r="D126" s="91">
        <f>COUNTIFS('SERVICE ENTRY'!$C$4:$C$1200,'County Report'!A126,'SERVICE ENTRY'!$G$4:$G$1200,"Asian")</f>
        <v>0</v>
      </c>
      <c r="E126" s="91">
        <f>COUNTIFS('SERVICE ENTRY'!$C$4:$C$1200,'County Report'!A126,'SERVICE ENTRY'!$G$4:$G$1200,"Black/African-American")</f>
        <v>0</v>
      </c>
      <c r="F126" s="91">
        <f>COUNTIFS('SERVICE ENTRY'!$C$4:$C$1200,'County Report'!A126,'SERVICE ENTRY'!$G$4:$G$1200,"Middle Eastern or North African")</f>
        <v>0</v>
      </c>
      <c r="G126" s="105">
        <f>COUNTIFS('SERVICE ENTRY'!$C$4:$C$1200,'County Report'!A126,'SERVICE ENTRY'!$G$4:$G$1200,"Native Hawaiian or Pacific Islander")</f>
        <v>0</v>
      </c>
      <c r="H126" s="91">
        <f>COUNTIFS('SERVICE ENTRY'!$C$4:$C$1200,'County Report'!A126,'SERVICE ENTRY'!$G$4:$G$1200,"White")</f>
        <v>0</v>
      </c>
      <c r="I126" s="105">
        <f>COUNTIFS('SERVICE ENTRY'!$C$4:$C$1200,'County Report'!A126,'SERVICE ENTRY'!$G$4:$G$1200,"Unknown or Other")</f>
        <v>0</v>
      </c>
      <c r="J126" s="214">
        <f>COUNTIFS('SERVICE ENTRY'!$C$4:$C$1200,'County Report'!A126,'SERVICE ENTRY'!$F$4:$F$1200,"Colombian")+COUNTIFS('SERVICE ENTRY'!$C$4:$C$1200,'County Report'!A126,'SERVICE ENTRY'!$F$4:$F$1200,"Cuban")+COUNTIFS('SERVICE ENTRY'!$C$4:$C$1200,'County Report'!A126,'SERVICE ENTRY'!$F$4:$F$1200,"Dominican")+COUNTIFS('SERVICE ENTRY'!$C$4:$C$1200,'County Report'!A126,'SERVICE ENTRY'!$F$4:$F$1200,"Mexican/Mexican-American/Chicano")+COUNTIFS('SERVICE ENTRY'!$C$4:$C$1200,'County Report'!A126,'SERVICE ENTRY'!$F$4:$F$1200,"Puerto Rican")+COUNTIFS('SERVICE ENTRY'!$C$4:$C$1200,'County Report'!A126,'SERVICE ENTRY'!$F$4:$F$1200,"Salvadoran")+COUNTIFS('SERVICE ENTRY'!$C$4:$C$1200,'County Report'!A126,'SERVICE ENTRY'!$F$4:$F$1200,"Other Hispanic/Latino/Spanish origin")</f>
        <v>0</v>
      </c>
      <c r="K126" s="91">
        <f>COUNTIFS('SERVICE ENTRY'!$C$4:$C$1200,'County Report'!A126,'SERVICE ENTRY'!$F$4:$F$1200,"Not of Hispanic/Latino/Spanish origin")</f>
        <v>0</v>
      </c>
      <c r="L126" s="247">
        <f>COUNTIFS('SERVICE ENTRY'!$C$4:$C$1200,'County Report'!A126,'SERVICE ENTRY'!$F$4:$F$1200,"Unknown or Other")</f>
        <v>0</v>
      </c>
    </row>
    <row r="127" spans="1:12" x14ac:dyDescent="0.25">
      <c r="A127" s="167" t="s">
        <v>679</v>
      </c>
      <c r="B127" s="126">
        <f>COUNTIF('SERVICE ENTRY'!$C$4:$C$1200,'County Report'!A127)</f>
        <v>0</v>
      </c>
      <c r="C127" s="124">
        <f>COUNTIFS('SERVICE ENTRY'!$C$4:$C$1200,'County Report'!A127,'SERVICE ENTRY'!$G$4:$G$1200,"American Indian or Alaska Native")</f>
        <v>0</v>
      </c>
      <c r="D127" s="91">
        <f>COUNTIFS('SERVICE ENTRY'!$C$4:$C$1200,'County Report'!A127,'SERVICE ENTRY'!$G$4:$G$1200,"Asian")</f>
        <v>0</v>
      </c>
      <c r="E127" s="91">
        <f>COUNTIFS('SERVICE ENTRY'!$C$4:$C$1200,'County Report'!A127,'SERVICE ENTRY'!$G$4:$G$1200,"Black/African-American")</f>
        <v>0</v>
      </c>
      <c r="F127" s="91">
        <f>COUNTIFS('SERVICE ENTRY'!$C$4:$C$1200,'County Report'!A127,'SERVICE ENTRY'!$G$4:$G$1200,"Middle Eastern or North African")</f>
        <v>0</v>
      </c>
      <c r="G127" s="105">
        <f>COUNTIFS('SERVICE ENTRY'!$C$4:$C$1200,'County Report'!A127,'SERVICE ENTRY'!$G$4:$G$1200,"Native Hawaiian or Pacific Islander")</f>
        <v>0</v>
      </c>
      <c r="H127" s="91">
        <f>COUNTIFS('SERVICE ENTRY'!$C$4:$C$1200,'County Report'!A127,'SERVICE ENTRY'!$G$4:$G$1200,"White")</f>
        <v>0</v>
      </c>
      <c r="I127" s="105">
        <f>COUNTIFS('SERVICE ENTRY'!$C$4:$C$1200,'County Report'!A127,'SERVICE ENTRY'!$G$4:$G$1200,"Unknown or Other")</f>
        <v>0</v>
      </c>
      <c r="J127" s="214">
        <f>COUNTIFS('SERVICE ENTRY'!$C$4:$C$1200,'County Report'!A127,'SERVICE ENTRY'!$F$4:$F$1200,"Colombian")+COUNTIFS('SERVICE ENTRY'!$C$4:$C$1200,'County Report'!A127,'SERVICE ENTRY'!$F$4:$F$1200,"Cuban")+COUNTIFS('SERVICE ENTRY'!$C$4:$C$1200,'County Report'!A127,'SERVICE ENTRY'!$F$4:$F$1200,"Dominican")+COUNTIFS('SERVICE ENTRY'!$C$4:$C$1200,'County Report'!A127,'SERVICE ENTRY'!$F$4:$F$1200,"Mexican/Mexican-American/Chicano")+COUNTIFS('SERVICE ENTRY'!$C$4:$C$1200,'County Report'!A127,'SERVICE ENTRY'!$F$4:$F$1200,"Puerto Rican")+COUNTIFS('SERVICE ENTRY'!$C$4:$C$1200,'County Report'!A127,'SERVICE ENTRY'!$F$4:$F$1200,"Salvadoran")+COUNTIFS('SERVICE ENTRY'!$C$4:$C$1200,'County Report'!A127,'SERVICE ENTRY'!$F$4:$F$1200,"Other Hispanic/Latino/Spanish origin")</f>
        <v>0</v>
      </c>
      <c r="K127" s="91">
        <f>COUNTIFS('SERVICE ENTRY'!$C$4:$C$1200,'County Report'!A127,'SERVICE ENTRY'!$F$4:$F$1200,"Not of Hispanic/Latino/Spanish origin")</f>
        <v>0</v>
      </c>
      <c r="L127" s="247">
        <f>COUNTIFS('SERVICE ENTRY'!$C$4:$C$1200,'County Report'!A127,'SERVICE ENTRY'!$F$4:$F$1200,"Unknown or Other")</f>
        <v>0</v>
      </c>
    </row>
    <row r="128" spans="1:12" x14ac:dyDescent="0.25">
      <c r="A128" s="167" t="s">
        <v>680</v>
      </c>
      <c r="B128" s="126">
        <f>COUNTIF('SERVICE ENTRY'!$C$4:$C$1200,'County Report'!A128)</f>
        <v>0</v>
      </c>
      <c r="C128" s="124">
        <f>COUNTIFS('SERVICE ENTRY'!$C$4:$C$1200,'County Report'!A128,'SERVICE ENTRY'!$G$4:$G$1200,"American Indian or Alaska Native")</f>
        <v>0</v>
      </c>
      <c r="D128" s="91">
        <f>COUNTIFS('SERVICE ENTRY'!$C$4:$C$1200,'County Report'!A128,'SERVICE ENTRY'!$G$4:$G$1200,"Asian")</f>
        <v>0</v>
      </c>
      <c r="E128" s="91">
        <f>COUNTIFS('SERVICE ENTRY'!$C$4:$C$1200,'County Report'!A128,'SERVICE ENTRY'!$G$4:$G$1200,"Black/African-American")</f>
        <v>0</v>
      </c>
      <c r="F128" s="91">
        <f>COUNTIFS('SERVICE ENTRY'!$C$4:$C$1200,'County Report'!A128,'SERVICE ENTRY'!$G$4:$G$1200,"Middle Eastern or North African")</f>
        <v>0</v>
      </c>
      <c r="G128" s="105">
        <f>COUNTIFS('SERVICE ENTRY'!$C$4:$C$1200,'County Report'!A128,'SERVICE ENTRY'!$G$4:$G$1200,"Native Hawaiian or Pacific Islander")</f>
        <v>0</v>
      </c>
      <c r="H128" s="91">
        <f>COUNTIFS('SERVICE ENTRY'!$C$4:$C$1200,'County Report'!A128,'SERVICE ENTRY'!$G$4:$G$1200,"White")</f>
        <v>0</v>
      </c>
      <c r="I128" s="105">
        <f>COUNTIFS('SERVICE ENTRY'!$C$4:$C$1200,'County Report'!A128,'SERVICE ENTRY'!$G$4:$G$1200,"Unknown or Other")</f>
        <v>0</v>
      </c>
      <c r="J128" s="214">
        <f>COUNTIFS('SERVICE ENTRY'!$C$4:$C$1200,'County Report'!A128,'SERVICE ENTRY'!$F$4:$F$1200,"Colombian")+COUNTIFS('SERVICE ENTRY'!$C$4:$C$1200,'County Report'!A128,'SERVICE ENTRY'!$F$4:$F$1200,"Cuban")+COUNTIFS('SERVICE ENTRY'!$C$4:$C$1200,'County Report'!A128,'SERVICE ENTRY'!$F$4:$F$1200,"Dominican")+COUNTIFS('SERVICE ENTRY'!$C$4:$C$1200,'County Report'!A128,'SERVICE ENTRY'!$F$4:$F$1200,"Mexican/Mexican-American/Chicano")+COUNTIFS('SERVICE ENTRY'!$C$4:$C$1200,'County Report'!A128,'SERVICE ENTRY'!$F$4:$F$1200,"Puerto Rican")+COUNTIFS('SERVICE ENTRY'!$C$4:$C$1200,'County Report'!A128,'SERVICE ENTRY'!$F$4:$F$1200,"Salvadoran")+COUNTIFS('SERVICE ENTRY'!$C$4:$C$1200,'County Report'!A128,'SERVICE ENTRY'!$F$4:$F$1200,"Other Hispanic/Latino/Spanish origin")</f>
        <v>0</v>
      </c>
      <c r="K128" s="91">
        <f>COUNTIFS('SERVICE ENTRY'!$C$4:$C$1200,'County Report'!A128,'SERVICE ENTRY'!$F$4:$F$1200,"Not of Hispanic/Latino/Spanish origin")</f>
        <v>0</v>
      </c>
      <c r="L128" s="247">
        <f>COUNTIFS('SERVICE ENTRY'!$C$4:$C$1200,'County Report'!A128,'SERVICE ENTRY'!$F$4:$F$1200,"Unknown or Other")</f>
        <v>0</v>
      </c>
    </row>
    <row r="129" spans="1:12" x14ac:dyDescent="0.25">
      <c r="A129" s="167" t="s">
        <v>681</v>
      </c>
      <c r="B129" s="126">
        <f>COUNTIF('SERVICE ENTRY'!$C$4:$C$1200,'County Report'!A129)</f>
        <v>0</v>
      </c>
      <c r="C129" s="124">
        <f>COUNTIFS('SERVICE ENTRY'!$C$4:$C$1200,'County Report'!A129,'SERVICE ENTRY'!$G$4:$G$1200,"American Indian or Alaska Native")</f>
        <v>0</v>
      </c>
      <c r="D129" s="91">
        <f>COUNTIFS('SERVICE ENTRY'!$C$4:$C$1200,'County Report'!A129,'SERVICE ENTRY'!$G$4:$G$1200,"Asian")</f>
        <v>0</v>
      </c>
      <c r="E129" s="91">
        <f>COUNTIFS('SERVICE ENTRY'!$C$4:$C$1200,'County Report'!A129,'SERVICE ENTRY'!$G$4:$G$1200,"Black/African-American")</f>
        <v>0</v>
      </c>
      <c r="F129" s="91">
        <f>COUNTIFS('SERVICE ENTRY'!$C$4:$C$1200,'County Report'!A129,'SERVICE ENTRY'!$G$4:$G$1200,"Middle Eastern or North African")</f>
        <v>0</v>
      </c>
      <c r="G129" s="105">
        <f>COUNTIFS('SERVICE ENTRY'!$C$4:$C$1200,'County Report'!A129,'SERVICE ENTRY'!$G$4:$G$1200,"Native Hawaiian or Pacific Islander")</f>
        <v>0</v>
      </c>
      <c r="H129" s="91">
        <f>COUNTIFS('SERVICE ENTRY'!$C$4:$C$1200,'County Report'!A129,'SERVICE ENTRY'!$G$4:$G$1200,"White")</f>
        <v>0</v>
      </c>
      <c r="I129" s="105">
        <f>COUNTIFS('SERVICE ENTRY'!$C$4:$C$1200,'County Report'!A129,'SERVICE ENTRY'!$G$4:$G$1200,"Unknown or Other")</f>
        <v>0</v>
      </c>
      <c r="J129" s="214">
        <f>COUNTIFS('SERVICE ENTRY'!$C$4:$C$1200,'County Report'!A129,'SERVICE ENTRY'!$F$4:$F$1200,"Colombian")+COUNTIFS('SERVICE ENTRY'!$C$4:$C$1200,'County Report'!A129,'SERVICE ENTRY'!$F$4:$F$1200,"Cuban")+COUNTIFS('SERVICE ENTRY'!$C$4:$C$1200,'County Report'!A129,'SERVICE ENTRY'!$F$4:$F$1200,"Dominican")+COUNTIFS('SERVICE ENTRY'!$C$4:$C$1200,'County Report'!A129,'SERVICE ENTRY'!$F$4:$F$1200,"Mexican/Mexican-American/Chicano")+COUNTIFS('SERVICE ENTRY'!$C$4:$C$1200,'County Report'!A129,'SERVICE ENTRY'!$F$4:$F$1200,"Puerto Rican")+COUNTIFS('SERVICE ENTRY'!$C$4:$C$1200,'County Report'!A129,'SERVICE ENTRY'!$F$4:$F$1200,"Salvadoran")+COUNTIFS('SERVICE ENTRY'!$C$4:$C$1200,'County Report'!A129,'SERVICE ENTRY'!$F$4:$F$1200,"Other Hispanic/Latino/Spanish origin")</f>
        <v>0</v>
      </c>
      <c r="K129" s="91">
        <f>COUNTIFS('SERVICE ENTRY'!$C$4:$C$1200,'County Report'!A129,'SERVICE ENTRY'!$F$4:$F$1200,"Not of Hispanic/Latino/Spanish origin")</f>
        <v>0</v>
      </c>
      <c r="L129" s="247">
        <f>COUNTIFS('SERVICE ENTRY'!$C$4:$C$1200,'County Report'!A129,'SERVICE ENTRY'!$F$4:$F$1200,"Unknown or Other")</f>
        <v>0</v>
      </c>
    </row>
    <row r="130" spans="1:12" x14ac:dyDescent="0.25">
      <c r="A130" s="167" t="s">
        <v>682</v>
      </c>
      <c r="B130" s="126">
        <f>COUNTIF('SERVICE ENTRY'!$C$4:$C$1200,'County Report'!A130)</f>
        <v>0</v>
      </c>
      <c r="C130" s="124">
        <f>COUNTIFS('SERVICE ENTRY'!$C$4:$C$1200,'County Report'!A130,'SERVICE ENTRY'!$G$4:$G$1200,"American Indian or Alaska Native")</f>
        <v>0</v>
      </c>
      <c r="D130" s="91">
        <f>COUNTIFS('SERVICE ENTRY'!$C$4:$C$1200,'County Report'!A130,'SERVICE ENTRY'!$G$4:$G$1200,"Asian")</f>
        <v>0</v>
      </c>
      <c r="E130" s="91">
        <f>COUNTIFS('SERVICE ENTRY'!$C$4:$C$1200,'County Report'!A130,'SERVICE ENTRY'!$G$4:$G$1200,"Black/African-American")</f>
        <v>0</v>
      </c>
      <c r="F130" s="91">
        <f>COUNTIFS('SERVICE ENTRY'!$C$4:$C$1200,'County Report'!A130,'SERVICE ENTRY'!$G$4:$G$1200,"Middle Eastern or North African")</f>
        <v>0</v>
      </c>
      <c r="G130" s="105">
        <f>COUNTIFS('SERVICE ENTRY'!$C$4:$C$1200,'County Report'!A130,'SERVICE ENTRY'!$G$4:$G$1200,"Native Hawaiian or Pacific Islander")</f>
        <v>0</v>
      </c>
      <c r="H130" s="91">
        <f>COUNTIFS('SERVICE ENTRY'!$C$4:$C$1200,'County Report'!A130,'SERVICE ENTRY'!$G$4:$G$1200,"White")</f>
        <v>0</v>
      </c>
      <c r="I130" s="105">
        <f>COUNTIFS('SERVICE ENTRY'!$C$4:$C$1200,'County Report'!A130,'SERVICE ENTRY'!$G$4:$G$1200,"Unknown or Other")</f>
        <v>0</v>
      </c>
      <c r="J130" s="214">
        <f>COUNTIFS('SERVICE ENTRY'!$C$4:$C$1200,'County Report'!A130,'SERVICE ENTRY'!$F$4:$F$1200,"Colombian")+COUNTIFS('SERVICE ENTRY'!$C$4:$C$1200,'County Report'!A130,'SERVICE ENTRY'!$F$4:$F$1200,"Cuban")+COUNTIFS('SERVICE ENTRY'!$C$4:$C$1200,'County Report'!A130,'SERVICE ENTRY'!$F$4:$F$1200,"Dominican")+COUNTIFS('SERVICE ENTRY'!$C$4:$C$1200,'County Report'!A130,'SERVICE ENTRY'!$F$4:$F$1200,"Mexican/Mexican-American/Chicano")+COUNTIFS('SERVICE ENTRY'!$C$4:$C$1200,'County Report'!A130,'SERVICE ENTRY'!$F$4:$F$1200,"Puerto Rican")+COUNTIFS('SERVICE ENTRY'!$C$4:$C$1200,'County Report'!A130,'SERVICE ENTRY'!$F$4:$F$1200,"Salvadoran")+COUNTIFS('SERVICE ENTRY'!$C$4:$C$1200,'County Report'!A130,'SERVICE ENTRY'!$F$4:$F$1200,"Other Hispanic/Latino/Spanish origin")</f>
        <v>0</v>
      </c>
      <c r="K130" s="91">
        <f>COUNTIFS('SERVICE ENTRY'!$C$4:$C$1200,'County Report'!A130,'SERVICE ENTRY'!$F$4:$F$1200,"Not of Hispanic/Latino/Spanish origin")</f>
        <v>0</v>
      </c>
      <c r="L130" s="247">
        <f>COUNTIFS('SERVICE ENTRY'!$C$4:$C$1200,'County Report'!A130,'SERVICE ENTRY'!$F$4:$F$1200,"Unknown or Other")</f>
        <v>0</v>
      </c>
    </row>
    <row r="131" spans="1:12" x14ac:dyDescent="0.25">
      <c r="A131" s="167" t="s">
        <v>683</v>
      </c>
      <c r="B131" s="126">
        <f>COUNTIF('SERVICE ENTRY'!$C$4:$C$1200,'County Report'!A131)</f>
        <v>0</v>
      </c>
      <c r="C131" s="124">
        <f>COUNTIFS('SERVICE ENTRY'!$C$4:$C$1200,'County Report'!A131,'SERVICE ENTRY'!$G$4:$G$1200,"American Indian or Alaska Native")</f>
        <v>0</v>
      </c>
      <c r="D131" s="91">
        <f>COUNTIFS('SERVICE ENTRY'!$C$4:$C$1200,'County Report'!A131,'SERVICE ENTRY'!$G$4:$G$1200,"Asian")</f>
        <v>0</v>
      </c>
      <c r="E131" s="91">
        <f>COUNTIFS('SERVICE ENTRY'!$C$4:$C$1200,'County Report'!A131,'SERVICE ENTRY'!$G$4:$G$1200,"Black/African-American")</f>
        <v>0</v>
      </c>
      <c r="F131" s="91">
        <f>COUNTIFS('SERVICE ENTRY'!$C$4:$C$1200,'County Report'!A131,'SERVICE ENTRY'!$G$4:$G$1200,"Middle Eastern or North African")</f>
        <v>0</v>
      </c>
      <c r="G131" s="105">
        <f>COUNTIFS('SERVICE ENTRY'!$C$4:$C$1200,'County Report'!A131,'SERVICE ENTRY'!$G$4:$G$1200,"Native Hawaiian or Pacific Islander")</f>
        <v>0</v>
      </c>
      <c r="H131" s="91">
        <f>COUNTIFS('SERVICE ENTRY'!$C$4:$C$1200,'County Report'!A131,'SERVICE ENTRY'!$G$4:$G$1200,"White")</f>
        <v>0</v>
      </c>
      <c r="I131" s="105">
        <f>COUNTIFS('SERVICE ENTRY'!$C$4:$C$1200,'County Report'!A131,'SERVICE ENTRY'!$G$4:$G$1200,"Unknown or Other")</f>
        <v>0</v>
      </c>
      <c r="J131" s="214">
        <f>COUNTIFS('SERVICE ENTRY'!$C$4:$C$1200,'County Report'!A131,'SERVICE ENTRY'!$F$4:$F$1200,"Colombian")+COUNTIFS('SERVICE ENTRY'!$C$4:$C$1200,'County Report'!A131,'SERVICE ENTRY'!$F$4:$F$1200,"Cuban")+COUNTIFS('SERVICE ENTRY'!$C$4:$C$1200,'County Report'!A131,'SERVICE ENTRY'!$F$4:$F$1200,"Dominican")+COUNTIFS('SERVICE ENTRY'!$C$4:$C$1200,'County Report'!A131,'SERVICE ENTRY'!$F$4:$F$1200,"Mexican/Mexican-American/Chicano")+COUNTIFS('SERVICE ENTRY'!$C$4:$C$1200,'County Report'!A131,'SERVICE ENTRY'!$F$4:$F$1200,"Puerto Rican")+COUNTIFS('SERVICE ENTRY'!$C$4:$C$1200,'County Report'!A131,'SERVICE ENTRY'!$F$4:$F$1200,"Salvadoran")+COUNTIFS('SERVICE ENTRY'!$C$4:$C$1200,'County Report'!A131,'SERVICE ENTRY'!$F$4:$F$1200,"Other Hispanic/Latino/Spanish origin")</f>
        <v>0</v>
      </c>
      <c r="K131" s="91">
        <f>COUNTIFS('SERVICE ENTRY'!$C$4:$C$1200,'County Report'!A131,'SERVICE ENTRY'!$F$4:$F$1200,"Not of Hispanic/Latino/Spanish origin")</f>
        <v>0</v>
      </c>
      <c r="L131" s="247">
        <f>COUNTIFS('SERVICE ENTRY'!$C$4:$C$1200,'County Report'!A131,'SERVICE ENTRY'!$F$4:$F$1200,"Unknown or Other")</f>
        <v>0</v>
      </c>
    </row>
    <row r="132" spans="1:12" x14ac:dyDescent="0.25">
      <c r="A132" s="167" t="s">
        <v>684</v>
      </c>
      <c r="B132" s="126">
        <f>COUNTIF('SERVICE ENTRY'!$C$4:$C$1200,'County Report'!A132)</f>
        <v>0</v>
      </c>
      <c r="C132" s="124">
        <f>COUNTIFS('SERVICE ENTRY'!$C$4:$C$1200,'County Report'!A132,'SERVICE ENTRY'!$G$4:$G$1200,"American Indian or Alaska Native")</f>
        <v>0</v>
      </c>
      <c r="D132" s="91">
        <f>COUNTIFS('SERVICE ENTRY'!$C$4:$C$1200,'County Report'!A132,'SERVICE ENTRY'!$G$4:$G$1200,"Asian")</f>
        <v>0</v>
      </c>
      <c r="E132" s="91">
        <f>COUNTIFS('SERVICE ENTRY'!$C$4:$C$1200,'County Report'!A132,'SERVICE ENTRY'!$G$4:$G$1200,"Black/African-American")</f>
        <v>0</v>
      </c>
      <c r="F132" s="91">
        <f>COUNTIFS('SERVICE ENTRY'!$C$4:$C$1200,'County Report'!A132,'SERVICE ENTRY'!$G$4:$G$1200,"Middle Eastern or North African")</f>
        <v>0</v>
      </c>
      <c r="G132" s="105">
        <f>COUNTIFS('SERVICE ENTRY'!$C$4:$C$1200,'County Report'!A132,'SERVICE ENTRY'!$G$4:$G$1200,"Native Hawaiian or Pacific Islander")</f>
        <v>0</v>
      </c>
      <c r="H132" s="91">
        <f>COUNTIFS('SERVICE ENTRY'!$C$4:$C$1200,'County Report'!A132,'SERVICE ENTRY'!$G$4:$G$1200,"White")</f>
        <v>0</v>
      </c>
      <c r="I132" s="105">
        <f>COUNTIFS('SERVICE ENTRY'!$C$4:$C$1200,'County Report'!A132,'SERVICE ENTRY'!$G$4:$G$1200,"Unknown or Other")</f>
        <v>0</v>
      </c>
      <c r="J132" s="214">
        <f>COUNTIFS('SERVICE ENTRY'!$C$4:$C$1200,'County Report'!A132,'SERVICE ENTRY'!$F$4:$F$1200,"Colombian")+COUNTIFS('SERVICE ENTRY'!$C$4:$C$1200,'County Report'!A132,'SERVICE ENTRY'!$F$4:$F$1200,"Cuban")+COUNTIFS('SERVICE ENTRY'!$C$4:$C$1200,'County Report'!A132,'SERVICE ENTRY'!$F$4:$F$1200,"Dominican")+COUNTIFS('SERVICE ENTRY'!$C$4:$C$1200,'County Report'!A132,'SERVICE ENTRY'!$F$4:$F$1200,"Mexican/Mexican-American/Chicano")+COUNTIFS('SERVICE ENTRY'!$C$4:$C$1200,'County Report'!A132,'SERVICE ENTRY'!$F$4:$F$1200,"Puerto Rican")+COUNTIFS('SERVICE ENTRY'!$C$4:$C$1200,'County Report'!A132,'SERVICE ENTRY'!$F$4:$F$1200,"Salvadoran")+COUNTIFS('SERVICE ENTRY'!$C$4:$C$1200,'County Report'!A132,'SERVICE ENTRY'!$F$4:$F$1200,"Other Hispanic/Latino/Spanish origin")</f>
        <v>0</v>
      </c>
      <c r="K132" s="91">
        <f>COUNTIFS('SERVICE ENTRY'!$C$4:$C$1200,'County Report'!A132,'SERVICE ENTRY'!$F$4:$F$1200,"Not of Hispanic/Latino/Spanish origin")</f>
        <v>0</v>
      </c>
      <c r="L132" s="247">
        <f>COUNTIFS('SERVICE ENTRY'!$C$4:$C$1200,'County Report'!A132,'SERVICE ENTRY'!$F$4:$F$1200,"Unknown or Other")</f>
        <v>0</v>
      </c>
    </row>
    <row r="133" spans="1:12" x14ac:dyDescent="0.25">
      <c r="A133" s="167" t="s">
        <v>685</v>
      </c>
      <c r="B133" s="126">
        <f>COUNTIF('SERVICE ENTRY'!$C$4:$C$1200,'County Report'!A133)</f>
        <v>0</v>
      </c>
      <c r="C133" s="124">
        <f>COUNTIFS('SERVICE ENTRY'!$C$4:$C$1200,'County Report'!A133,'SERVICE ENTRY'!$G$4:$G$1200,"American Indian or Alaska Native")</f>
        <v>0</v>
      </c>
      <c r="D133" s="91">
        <f>COUNTIFS('SERVICE ENTRY'!$C$4:$C$1200,'County Report'!A133,'SERVICE ENTRY'!$G$4:$G$1200,"Asian")</f>
        <v>0</v>
      </c>
      <c r="E133" s="91">
        <f>COUNTIFS('SERVICE ENTRY'!$C$4:$C$1200,'County Report'!A133,'SERVICE ENTRY'!$G$4:$G$1200,"Black/African-American")</f>
        <v>0</v>
      </c>
      <c r="F133" s="91">
        <f>COUNTIFS('SERVICE ENTRY'!$C$4:$C$1200,'County Report'!A133,'SERVICE ENTRY'!$G$4:$G$1200,"Middle Eastern or North African")</f>
        <v>0</v>
      </c>
      <c r="G133" s="105">
        <f>COUNTIFS('SERVICE ENTRY'!$C$4:$C$1200,'County Report'!A133,'SERVICE ENTRY'!$G$4:$G$1200,"Native Hawaiian or Pacific Islander")</f>
        <v>0</v>
      </c>
      <c r="H133" s="91">
        <f>COUNTIFS('SERVICE ENTRY'!$C$4:$C$1200,'County Report'!A133,'SERVICE ENTRY'!$G$4:$G$1200,"White")</f>
        <v>0</v>
      </c>
      <c r="I133" s="105">
        <f>COUNTIFS('SERVICE ENTRY'!$C$4:$C$1200,'County Report'!A133,'SERVICE ENTRY'!$G$4:$G$1200,"Unknown or Other")</f>
        <v>0</v>
      </c>
      <c r="J133" s="214">
        <f>COUNTIFS('SERVICE ENTRY'!$C$4:$C$1200,'County Report'!A133,'SERVICE ENTRY'!$F$4:$F$1200,"Colombian")+COUNTIFS('SERVICE ENTRY'!$C$4:$C$1200,'County Report'!A133,'SERVICE ENTRY'!$F$4:$F$1200,"Cuban")+COUNTIFS('SERVICE ENTRY'!$C$4:$C$1200,'County Report'!A133,'SERVICE ENTRY'!$F$4:$F$1200,"Dominican")+COUNTIFS('SERVICE ENTRY'!$C$4:$C$1200,'County Report'!A133,'SERVICE ENTRY'!$F$4:$F$1200,"Mexican/Mexican-American/Chicano")+COUNTIFS('SERVICE ENTRY'!$C$4:$C$1200,'County Report'!A133,'SERVICE ENTRY'!$F$4:$F$1200,"Puerto Rican")+COUNTIFS('SERVICE ENTRY'!$C$4:$C$1200,'County Report'!A133,'SERVICE ENTRY'!$F$4:$F$1200,"Salvadoran")+COUNTIFS('SERVICE ENTRY'!$C$4:$C$1200,'County Report'!A133,'SERVICE ENTRY'!$F$4:$F$1200,"Other Hispanic/Latino/Spanish origin")</f>
        <v>0</v>
      </c>
      <c r="K133" s="91">
        <f>COUNTIFS('SERVICE ENTRY'!$C$4:$C$1200,'County Report'!A133,'SERVICE ENTRY'!$F$4:$F$1200,"Not of Hispanic/Latino/Spanish origin")</f>
        <v>0</v>
      </c>
      <c r="L133" s="247">
        <f>COUNTIFS('SERVICE ENTRY'!$C$4:$C$1200,'County Report'!A133,'SERVICE ENTRY'!$F$4:$F$1200,"Unknown or Other")</f>
        <v>0</v>
      </c>
    </row>
    <row r="134" spans="1:12" ht="15.75" thickBot="1" x14ac:dyDescent="0.3">
      <c r="A134" s="167" t="s">
        <v>686</v>
      </c>
      <c r="B134" s="126">
        <f>COUNTIF('SERVICE ENTRY'!$C$4:$C$1200,'County Report'!A134)</f>
        <v>0</v>
      </c>
      <c r="C134" s="275">
        <f>COUNTIFS('SERVICE ENTRY'!$C$4:$C$1200,'County Report'!A134,'SERVICE ENTRY'!$G$4:$G$1200,"American Indian or Alaska Native")</f>
        <v>0</v>
      </c>
      <c r="D134" s="244">
        <f>COUNTIFS('SERVICE ENTRY'!$C$4:$C$1200,'County Report'!A134,'SERVICE ENTRY'!$G$4:$G$1200,"Asian")</f>
        <v>0</v>
      </c>
      <c r="E134" s="244">
        <f>COUNTIFS('SERVICE ENTRY'!$C$4:$C$1200,'County Report'!A134,'SERVICE ENTRY'!$G$4:$G$1200,"Black/African-American")</f>
        <v>0</v>
      </c>
      <c r="F134" s="244">
        <f>COUNTIFS('SERVICE ENTRY'!$C$4:$C$1200,'County Report'!A134,'SERVICE ENTRY'!$G$4:$G$1200,"Middle Eastern or North African")</f>
        <v>0</v>
      </c>
      <c r="G134" s="245">
        <f>COUNTIFS('SERVICE ENTRY'!$C$4:$C$1200,'County Report'!A134,'SERVICE ENTRY'!$G$4:$G$1200,"Native Hawaiian or Pacific Islander")</f>
        <v>0</v>
      </c>
      <c r="H134" s="244">
        <f>COUNTIFS('SERVICE ENTRY'!$C$4:$C$1200,'County Report'!A134,'SERVICE ENTRY'!$G$4:$G$1200,"White")</f>
        <v>0</v>
      </c>
      <c r="I134" s="245">
        <f>COUNTIFS('SERVICE ENTRY'!$C$4:$C$1200,'County Report'!A134,'SERVICE ENTRY'!$G$4:$G$1200,"Unknown or Other")</f>
        <v>0</v>
      </c>
      <c r="J134" s="276">
        <f>COUNTIFS('SERVICE ENTRY'!$C$4:$C$1200,'County Report'!A134,'SERVICE ENTRY'!$F$4:$F$1200,"Colombian")+COUNTIFS('SERVICE ENTRY'!$C$4:$C$1200,'County Report'!A134,'SERVICE ENTRY'!$F$4:$F$1200,"Cuban")+COUNTIFS('SERVICE ENTRY'!$C$4:$C$1200,'County Report'!A134,'SERVICE ENTRY'!$F$4:$F$1200,"Dominican")+COUNTIFS('SERVICE ENTRY'!$C$4:$C$1200,'County Report'!A134,'SERVICE ENTRY'!$F$4:$F$1200,"Mexican/Mexican-American/Chicano")+COUNTIFS('SERVICE ENTRY'!$C$4:$C$1200,'County Report'!A134,'SERVICE ENTRY'!$F$4:$F$1200,"Puerto Rican")+COUNTIFS('SERVICE ENTRY'!$C$4:$C$1200,'County Report'!A134,'SERVICE ENTRY'!$F$4:$F$1200,"Salvadoran")+COUNTIFS('SERVICE ENTRY'!$C$4:$C$1200,'County Report'!A134,'SERVICE ENTRY'!$F$4:$F$1200,"Other Hispanic/Latino/Spanish origin")</f>
        <v>0</v>
      </c>
      <c r="K134" s="244">
        <f>COUNTIFS('SERVICE ENTRY'!$C$4:$C$1200,'County Report'!A134,'SERVICE ENTRY'!$F$4:$F$1200,"Not of Hispanic/Latino/Spanish origin")</f>
        <v>0</v>
      </c>
      <c r="L134" s="277">
        <f>COUNTIFS('SERVICE ENTRY'!$C$4:$C$1200,'County Report'!A134,'SERVICE ENTRY'!$F$4:$F$1200,"Unknown or Other")</f>
        <v>0</v>
      </c>
    </row>
    <row r="135" spans="1:12" ht="15.75" thickBot="1" x14ac:dyDescent="0.3">
      <c r="A135" s="353" t="s">
        <v>328</v>
      </c>
      <c r="B135" s="355">
        <f>SUM(B71:B134)</f>
        <v>0</v>
      </c>
      <c r="C135" s="246">
        <f>SUM(C71:C134)</f>
        <v>0</v>
      </c>
      <c r="D135" s="278">
        <f t="shared" ref="D135:L135" si="1">SUM(D71:D134)</f>
        <v>0</v>
      </c>
      <c r="E135" s="278">
        <f t="shared" si="1"/>
        <v>0</v>
      </c>
      <c r="F135" s="278">
        <f t="shared" si="1"/>
        <v>0</v>
      </c>
      <c r="G135" s="278">
        <f t="shared" si="1"/>
        <v>0</v>
      </c>
      <c r="H135" s="278">
        <f t="shared" si="1"/>
        <v>0</v>
      </c>
      <c r="I135" s="278">
        <f t="shared" si="1"/>
        <v>0</v>
      </c>
      <c r="J135" s="278">
        <f t="shared" si="1"/>
        <v>0</v>
      </c>
      <c r="K135" s="278">
        <f t="shared" si="1"/>
        <v>0</v>
      </c>
      <c r="L135" s="279">
        <f t="shared" si="1"/>
        <v>0</v>
      </c>
    </row>
    <row r="136" spans="1:12" ht="23.25" customHeight="1" thickBot="1" x14ac:dyDescent="0.3">
      <c r="A136" s="354"/>
      <c r="B136" s="356"/>
      <c r="C136" s="363">
        <f>SUM(C135:I135)</f>
        <v>0</v>
      </c>
      <c r="D136" s="363"/>
      <c r="E136" s="363"/>
      <c r="F136" s="363"/>
      <c r="G136" s="363"/>
      <c r="H136" s="363"/>
      <c r="I136" s="363"/>
      <c r="J136" s="364">
        <f>SUM(J135:L135)</f>
        <v>0</v>
      </c>
      <c r="K136" s="363"/>
      <c r="L136" s="349"/>
    </row>
    <row r="137" spans="1:12" x14ac:dyDescent="0.25">
      <c r="K137" s="242"/>
    </row>
    <row r="138" spans="1:12" x14ac:dyDescent="0.25">
      <c r="K138" s="242"/>
    </row>
    <row r="139" spans="1:12" ht="60" x14ac:dyDescent="0.25">
      <c r="A139" s="168" t="s">
        <v>337</v>
      </c>
      <c r="B139" s="127" t="s">
        <v>277</v>
      </c>
      <c r="C139" s="142" t="s">
        <v>345</v>
      </c>
      <c r="D139" s="86" t="s">
        <v>282</v>
      </c>
      <c r="E139" s="86" t="s">
        <v>278</v>
      </c>
      <c r="F139" s="86" t="s">
        <v>279</v>
      </c>
      <c r="G139" s="86" t="s">
        <v>280</v>
      </c>
      <c r="H139" s="86" t="s">
        <v>281</v>
      </c>
      <c r="I139" s="173"/>
      <c r="K139" s="242"/>
    </row>
    <row r="140" spans="1:12" ht="15.75" customHeight="1" x14ac:dyDescent="0.25">
      <c r="A140" s="169" t="s">
        <v>623</v>
      </c>
      <c r="B140" s="126">
        <f>SUM(COUNTIFS('SERVICE ENTRY'!$AG$4:$AG$1200,{"Yes Stage 0","Yes Stage I","Yes Stage II","Yes Stage III","Yes Stage IV","Yes Stage Unknown"},'SERVICE ENTRY'!$C$4:$C$1200,'County Report'!A140))+SUM(COUNTIFS('SERVICE ENTRY'!$AL$4:$AL$1200,{"Yes Stage 0","Yes Stage I","Yes Stage II","Yes Stage III","Yes Stage IV","Yes Stage Unknown"},'SERVICE ENTRY'!$C$4:$C$1200,'County Report'!A140))</f>
        <v>0</v>
      </c>
      <c r="C140" s="124">
        <f>COUNTIFS('SERVICE ENTRY'!$C$4:$C$1200,'County Report'!A140,'SERVICE ENTRY'!$AG$4:$AG$1200,"Yes Stage 0")+COUNTIFS('SERVICE ENTRY'!$C$4:$C$1200,'County Report'!A140,'SERVICE ENTRY'!$AL$4:$AL$1200,"Yes Stage 0")</f>
        <v>0</v>
      </c>
      <c r="D140" s="91">
        <f>COUNTIFS('SERVICE ENTRY'!$C$4:$C$1200,'County Report'!A140,'SERVICE ENTRY'!$AG$4:$AG$1200,"Yes Stage I")+COUNTIFS('SERVICE ENTRY'!$C$4:$C$1200,'County Report'!A140,'SERVICE ENTRY'!$AL$4:$AL$1200,"Yes Stage I")</f>
        <v>0</v>
      </c>
      <c r="E140" s="91">
        <f>COUNTIFS('SERVICE ENTRY'!$C$4:$C$1200,'County Report'!A140,'SERVICE ENTRY'!$AG$4:$AG$1200,"Yes Stage III")+COUNTIFS('SERVICE ENTRY'!$C$4:$C$1200,'County Report'!A140,'SERVICE ENTRY'!$AL$4:$AL$1200,"Yes Stage III")</f>
        <v>0</v>
      </c>
      <c r="F140" s="91">
        <f>COUNTIFS('SERVICE ENTRY'!$C$4:$C$1200,'County Report'!A140,'SERVICE ENTRY'!$AG$4:$AG$1200,"Yes Stage III")+COUNTIFS('SERVICE ENTRY'!$C$4:$C$1200,'County Report'!A140,'SERVICE ENTRY'!$AL$4:$AL$1200,"Yes Stage III")</f>
        <v>0</v>
      </c>
      <c r="G140" s="91">
        <f>COUNTIFS('SERVICE ENTRY'!$C$4:$C$1200,'County Report'!A140,'SERVICE ENTRY'!$AG$4:$AG$1200,"Yes Stage IV")+COUNTIFS('SERVICE ENTRY'!$C$4:$C$1200,'County Report'!A140,'SERVICE ENTRY'!$AL$4:$AL$1200,"Yes Stage IV")</f>
        <v>0</v>
      </c>
      <c r="H140" s="91">
        <f>COUNTIFS('SERVICE ENTRY'!$C$4:$C$1200,'County Report'!A140,'SERVICE ENTRY'!$AG$4:$AG$1200,"Yes Stage Unknown")+COUNTIFS('SERVICE ENTRY'!$C$4:$C$1200,'County Report'!A140,'SERVICE ENTRY'!$AL$4:$AL$1200,"Yes Stage Unknown")</f>
        <v>0</v>
      </c>
      <c r="I140" s="186"/>
      <c r="K140" s="242"/>
    </row>
    <row r="141" spans="1:12" ht="15.75" customHeight="1" x14ac:dyDescent="0.25">
      <c r="A141" s="167" t="s">
        <v>624</v>
      </c>
      <c r="B141" s="126">
        <f>SUM(COUNTIFS('SERVICE ENTRY'!$AG$4:$AG$1200,{"Yes Stage 0","Yes Stage I","Yes Stage II","Yes Stage III","Yes Stage IV","Yes Stage Unknown"},'SERVICE ENTRY'!$C$4:$C$1200,'County Report'!A141))+SUM(COUNTIFS('SERVICE ENTRY'!$AL$4:$AL$1200,{"Yes Stage 0","Yes Stage I","Yes Stage II","Yes Stage III","Yes Stage IV","Yes Stage Unknown"},'SERVICE ENTRY'!$C$4:$C$1200,'County Report'!A141))</f>
        <v>0</v>
      </c>
      <c r="C141" s="124">
        <f>COUNTIFS('SERVICE ENTRY'!$C$4:$C$1200,'County Report'!A141,'SERVICE ENTRY'!$AG$4:$AG$1200,"Yes Stage 0")+COUNTIFS('SERVICE ENTRY'!$C$4:$C$1200,'County Report'!A141,'SERVICE ENTRY'!$AL$4:$AL$1200,"Yes Stage 0")</f>
        <v>0</v>
      </c>
      <c r="D141" s="91">
        <f>COUNTIFS('SERVICE ENTRY'!$C$4:$C$1200,'County Report'!A141,'SERVICE ENTRY'!$AG$4:$AG$1200,"Yes Stage I")+COUNTIFS('SERVICE ENTRY'!$C$4:$C$1200,'County Report'!A141,'SERVICE ENTRY'!$AL$4:$AL$1200,"Yes Stage I")</f>
        <v>0</v>
      </c>
      <c r="E141" s="91">
        <f>COUNTIFS('SERVICE ENTRY'!$C$4:$C$1200,'County Report'!A141,'SERVICE ENTRY'!$AG$4:$AG$1200,"Yes Stage III")+COUNTIFS('SERVICE ENTRY'!$C$4:$C$1200,'County Report'!A141,'SERVICE ENTRY'!$AL$4:$AL$1200,"Yes Stage III")</f>
        <v>0</v>
      </c>
      <c r="F141" s="91">
        <f>COUNTIFS('SERVICE ENTRY'!$C$4:$C$1200,'County Report'!A141,'SERVICE ENTRY'!$AG$4:$AG$1200,"Yes Stage III")+COUNTIFS('SERVICE ENTRY'!$C$4:$C$1200,'County Report'!A141,'SERVICE ENTRY'!$AL$4:$AL$1200,"Yes Stage III")</f>
        <v>0</v>
      </c>
      <c r="G141" s="91">
        <f>COUNTIFS('SERVICE ENTRY'!$C$4:$C$1200,'County Report'!A141,'SERVICE ENTRY'!$AG$4:$AG$1200,"Yes Stage IV")+COUNTIFS('SERVICE ENTRY'!$C$4:$C$1200,'County Report'!A141,'SERVICE ENTRY'!$AL$4:$AL$1200,"Yes Stage IV")</f>
        <v>0</v>
      </c>
      <c r="H141" s="91">
        <f>COUNTIFS('SERVICE ENTRY'!$C$4:$C$1200,'County Report'!A141,'SERVICE ENTRY'!$AG$4:$AG$1200,"Yes Stage Unknown")+COUNTIFS('SERVICE ENTRY'!$C$4:$C$1200,'County Report'!A141,'SERVICE ENTRY'!$AL$4:$AL$1200,"Yes Stage Unknown")</f>
        <v>0</v>
      </c>
      <c r="I141" s="186"/>
      <c r="K141" s="242"/>
    </row>
    <row r="142" spans="1:12" x14ac:dyDescent="0.25">
      <c r="A142" s="167" t="s">
        <v>625</v>
      </c>
      <c r="B142" s="126">
        <f>SUM(COUNTIFS('SERVICE ENTRY'!$AG$4:$AG$1200,{"Yes Stage 0","Yes Stage I","Yes Stage II","Yes Stage III","Yes Stage IV","Yes Stage Unknown"},'SERVICE ENTRY'!$C$4:$C$1200,'County Report'!A142))+SUM(COUNTIFS('SERVICE ENTRY'!$AL$4:$AL$1200,{"Yes Stage 0","Yes Stage I","Yes Stage II","Yes Stage III","Yes Stage IV","Yes Stage Unknown"},'SERVICE ENTRY'!$C$4:$C$1200,'County Report'!A142))</f>
        <v>0</v>
      </c>
      <c r="C142" s="124">
        <f>COUNTIFS('SERVICE ENTRY'!$C$4:$C$1200,'County Report'!A142,'SERVICE ENTRY'!$AG$4:$AG$1200,"Yes Stage 0")+COUNTIFS('SERVICE ENTRY'!$C$4:$C$1200,'County Report'!A142,'SERVICE ENTRY'!$AL$4:$AL$1200,"Yes Stage 0")</f>
        <v>0</v>
      </c>
      <c r="D142" s="91">
        <f>COUNTIFS('SERVICE ENTRY'!$C$4:$C$1200,'County Report'!A142,'SERVICE ENTRY'!$AG$4:$AG$1200,"Yes Stage I")+COUNTIFS('SERVICE ENTRY'!$C$4:$C$1200,'County Report'!A142,'SERVICE ENTRY'!$AL$4:$AL$1200,"Yes Stage I")</f>
        <v>0</v>
      </c>
      <c r="E142" s="91">
        <f>COUNTIFS('SERVICE ENTRY'!$C$4:$C$1200,'County Report'!A142,'SERVICE ENTRY'!$AG$4:$AG$1200,"Yes Stage III")+COUNTIFS('SERVICE ENTRY'!$C$4:$C$1200,'County Report'!A142,'SERVICE ENTRY'!$AL$4:$AL$1200,"Yes Stage III")</f>
        <v>0</v>
      </c>
      <c r="F142" s="91">
        <f>COUNTIFS('SERVICE ENTRY'!$C$4:$C$1200,'County Report'!A142,'SERVICE ENTRY'!$AG$4:$AG$1200,"Yes Stage III")+COUNTIFS('SERVICE ENTRY'!$C$4:$C$1200,'County Report'!A142,'SERVICE ENTRY'!$AL$4:$AL$1200,"Yes Stage III")</f>
        <v>0</v>
      </c>
      <c r="G142" s="91">
        <f>COUNTIFS('SERVICE ENTRY'!$C$4:$C$1200,'County Report'!A142,'SERVICE ENTRY'!$AG$4:$AG$1200,"Yes Stage IV")+COUNTIFS('SERVICE ENTRY'!$C$4:$C$1200,'County Report'!A142,'SERVICE ENTRY'!$AL$4:$AL$1200,"Yes Stage IV")</f>
        <v>0</v>
      </c>
      <c r="H142" s="91">
        <f>COUNTIFS('SERVICE ENTRY'!$C$4:$C$1200,'County Report'!A142,'SERVICE ENTRY'!$AG$4:$AG$1200,"Yes Stage Unknown")+COUNTIFS('SERVICE ENTRY'!$C$4:$C$1200,'County Report'!A142,'SERVICE ENTRY'!$AL$4:$AL$1200,"Yes Stage Unknown")</f>
        <v>0</v>
      </c>
      <c r="I142" s="186"/>
      <c r="K142" s="242"/>
    </row>
    <row r="143" spans="1:12" x14ac:dyDescent="0.25">
      <c r="A143" s="167" t="s">
        <v>626</v>
      </c>
      <c r="B143" s="126">
        <f>SUM(COUNTIFS('SERVICE ENTRY'!$AG$4:$AG$1200,{"Yes Stage 0","Yes Stage I","Yes Stage II","Yes Stage III","Yes Stage IV","Yes Stage Unknown"},'SERVICE ENTRY'!$C$4:$C$1200,'County Report'!A143))+SUM(COUNTIFS('SERVICE ENTRY'!$AL$4:$AL$1200,{"Yes Stage 0","Yes Stage I","Yes Stage II","Yes Stage III","Yes Stage IV","Yes Stage Unknown"},'SERVICE ENTRY'!$C$4:$C$1200,'County Report'!A143))</f>
        <v>0</v>
      </c>
      <c r="C143" s="124">
        <f>COUNTIFS('SERVICE ENTRY'!$C$4:$C$1200,'County Report'!A143,'SERVICE ENTRY'!$AG$4:$AG$1200,"Yes Stage 0")+COUNTIFS('SERVICE ENTRY'!$C$4:$C$1200,'County Report'!A143,'SERVICE ENTRY'!$AL$4:$AL$1200,"Yes Stage 0")</f>
        <v>0</v>
      </c>
      <c r="D143" s="91">
        <f>COUNTIFS('SERVICE ENTRY'!$C$4:$C$1200,'County Report'!A143,'SERVICE ENTRY'!$AG$4:$AG$1200,"Yes Stage I")+COUNTIFS('SERVICE ENTRY'!$C$4:$C$1200,'County Report'!A143,'SERVICE ENTRY'!$AL$4:$AL$1200,"Yes Stage I")</f>
        <v>0</v>
      </c>
      <c r="E143" s="91">
        <f>COUNTIFS('SERVICE ENTRY'!$C$4:$C$1200,'County Report'!A143,'SERVICE ENTRY'!$AG$4:$AG$1200,"Yes Stage III")+COUNTIFS('SERVICE ENTRY'!$C$4:$C$1200,'County Report'!A143,'SERVICE ENTRY'!$AL$4:$AL$1200,"Yes Stage III")</f>
        <v>0</v>
      </c>
      <c r="F143" s="91">
        <f>COUNTIFS('SERVICE ENTRY'!$C$4:$C$1200,'County Report'!A143,'SERVICE ENTRY'!$AG$4:$AG$1200,"Yes Stage III")+COUNTIFS('SERVICE ENTRY'!$C$4:$C$1200,'County Report'!A143,'SERVICE ENTRY'!$AL$4:$AL$1200,"Yes Stage III")</f>
        <v>0</v>
      </c>
      <c r="G143" s="91">
        <f>COUNTIFS('SERVICE ENTRY'!$C$4:$C$1200,'County Report'!A143,'SERVICE ENTRY'!$AG$4:$AG$1200,"Yes Stage IV")+COUNTIFS('SERVICE ENTRY'!$C$4:$C$1200,'County Report'!A143,'SERVICE ENTRY'!$AL$4:$AL$1200,"Yes Stage IV")</f>
        <v>0</v>
      </c>
      <c r="H143" s="91">
        <f>COUNTIFS('SERVICE ENTRY'!$C$4:$C$1200,'County Report'!A143,'SERVICE ENTRY'!$AG$4:$AG$1200,"Yes Stage Unknown")+COUNTIFS('SERVICE ENTRY'!$C$4:$C$1200,'County Report'!A143,'SERVICE ENTRY'!$AL$4:$AL$1200,"Yes Stage Unknown")</f>
        <v>0</v>
      </c>
      <c r="I143" s="186"/>
      <c r="K143" s="242"/>
    </row>
    <row r="144" spans="1:12" x14ac:dyDescent="0.25">
      <c r="A144" s="167" t="s">
        <v>627</v>
      </c>
      <c r="B144" s="126">
        <f>SUM(COUNTIFS('SERVICE ENTRY'!$AG$4:$AG$1200,{"Yes Stage 0","Yes Stage I","Yes Stage II","Yes Stage III","Yes Stage IV","Yes Stage Unknown"},'SERVICE ENTRY'!$C$4:$C$1200,'County Report'!A144))+SUM(COUNTIFS('SERVICE ENTRY'!$AL$4:$AL$1200,{"Yes Stage 0","Yes Stage I","Yes Stage II","Yes Stage III","Yes Stage IV","Yes Stage Unknown"},'SERVICE ENTRY'!$C$4:$C$1200,'County Report'!A144))</f>
        <v>0</v>
      </c>
      <c r="C144" s="124">
        <f>COUNTIFS('SERVICE ENTRY'!$C$4:$C$1200,'County Report'!A144,'SERVICE ENTRY'!$AG$4:$AG$1200,"Yes Stage 0")+COUNTIFS('SERVICE ENTRY'!$C$4:$C$1200,'County Report'!A144,'SERVICE ENTRY'!$AL$4:$AL$1200,"Yes Stage 0")</f>
        <v>0</v>
      </c>
      <c r="D144" s="91">
        <f>COUNTIFS('SERVICE ENTRY'!$C$4:$C$1200,'County Report'!A144,'SERVICE ENTRY'!$AG$4:$AG$1200,"Yes Stage I")+COUNTIFS('SERVICE ENTRY'!$C$4:$C$1200,'County Report'!A144,'SERVICE ENTRY'!$AL$4:$AL$1200,"Yes Stage I")</f>
        <v>0</v>
      </c>
      <c r="E144" s="91">
        <f>COUNTIFS('SERVICE ENTRY'!$C$4:$C$1200,'County Report'!A144,'SERVICE ENTRY'!$AG$4:$AG$1200,"Yes Stage III")+COUNTIFS('SERVICE ENTRY'!$C$4:$C$1200,'County Report'!A144,'SERVICE ENTRY'!$AL$4:$AL$1200,"Yes Stage III")</f>
        <v>0</v>
      </c>
      <c r="F144" s="91">
        <f>COUNTIFS('SERVICE ENTRY'!$C$4:$C$1200,'County Report'!A144,'SERVICE ENTRY'!$AG$4:$AG$1200,"Yes Stage III")+COUNTIFS('SERVICE ENTRY'!$C$4:$C$1200,'County Report'!A144,'SERVICE ENTRY'!$AL$4:$AL$1200,"Yes Stage III")</f>
        <v>0</v>
      </c>
      <c r="G144" s="91">
        <f>COUNTIFS('SERVICE ENTRY'!$C$4:$C$1200,'County Report'!A144,'SERVICE ENTRY'!$AG$4:$AG$1200,"Yes Stage IV")+COUNTIFS('SERVICE ENTRY'!$C$4:$C$1200,'County Report'!A144,'SERVICE ENTRY'!$AL$4:$AL$1200,"Yes Stage IV")</f>
        <v>0</v>
      </c>
      <c r="H144" s="91">
        <f>COUNTIFS('SERVICE ENTRY'!$C$4:$C$1200,'County Report'!A144,'SERVICE ENTRY'!$AG$4:$AG$1200,"Yes Stage Unknown")+COUNTIFS('SERVICE ENTRY'!$C$4:$C$1200,'County Report'!A144,'SERVICE ENTRY'!$AL$4:$AL$1200,"Yes Stage Unknown")</f>
        <v>0</v>
      </c>
      <c r="I144" s="186"/>
      <c r="K144" s="242"/>
    </row>
    <row r="145" spans="1:11" x14ac:dyDescent="0.25">
      <c r="A145" s="167" t="s">
        <v>628</v>
      </c>
      <c r="B145" s="126">
        <f>SUM(COUNTIFS('SERVICE ENTRY'!$AG$4:$AG$1200,{"Yes Stage 0","Yes Stage I","Yes Stage II","Yes Stage III","Yes Stage IV","Yes Stage Unknown"},'SERVICE ENTRY'!$C$4:$C$1200,'County Report'!A145))+SUM(COUNTIFS('SERVICE ENTRY'!$AL$4:$AL$1200,{"Yes Stage 0","Yes Stage I","Yes Stage II","Yes Stage III","Yes Stage IV","Yes Stage Unknown"},'SERVICE ENTRY'!$C$4:$C$1200,'County Report'!A145))</f>
        <v>0</v>
      </c>
      <c r="C145" s="124">
        <f>COUNTIFS('SERVICE ENTRY'!$C$4:$C$1200,'County Report'!A145,'SERVICE ENTRY'!$AG$4:$AG$1200,"Yes Stage 0")+COUNTIFS('SERVICE ENTRY'!$C$4:$C$1200,'County Report'!A145,'SERVICE ENTRY'!$AL$4:$AL$1200,"Yes Stage 0")</f>
        <v>0</v>
      </c>
      <c r="D145" s="91">
        <f>COUNTIFS('SERVICE ENTRY'!$C$4:$C$1200,'County Report'!A145,'SERVICE ENTRY'!$AG$4:$AG$1200,"Yes Stage I")+COUNTIFS('SERVICE ENTRY'!$C$4:$C$1200,'County Report'!A145,'SERVICE ENTRY'!$AL$4:$AL$1200,"Yes Stage I")</f>
        <v>0</v>
      </c>
      <c r="E145" s="91">
        <f>COUNTIFS('SERVICE ENTRY'!$C$4:$C$1200,'County Report'!A145,'SERVICE ENTRY'!$AG$4:$AG$1200,"Yes Stage III")+COUNTIFS('SERVICE ENTRY'!$C$4:$C$1200,'County Report'!A145,'SERVICE ENTRY'!$AL$4:$AL$1200,"Yes Stage III")</f>
        <v>0</v>
      </c>
      <c r="F145" s="91">
        <f>COUNTIFS('SERVICE ENTRY'!$C$4:$C$1200,'County Report'!A145,'SERVICE ENTRY'!$AG$4:$AG$1200,"Yes Stage III")+COUNTIFS('SERVICE ENTRY'!$C$4:$C$1200,'County Report'!A145,'SERVICE ENTRY'!$AL$4:$AL$1200,"Yes Stage III")</f>
        <v>0</v>
      </c>
      <c r="G145" s="91">
        <f>COUNTIFS('SERVICE ENTRY'!$C$4:$C$1200,'County Report'!A145,'SERVICE ENTRY'!$AG$4:$AG$1200,"Yes Stage IV")+COUNTIFS('SERVICE ENTRY'!$C$4:$C$1200,'County Report'!A145,'SERVICE ENTRY'!$AL$4:$AL$1200,"Yes Stage IV")</f>
        <v>0</v>
      </c>
      <c r="H145" s="91">
        <f>COUNTIFS('SERVICE ENTRY'!$C$4:$C$1200,'County Report'!A145,'SERVICE ENTRY'!$AG$4:$AG$1200,"Yes Stage Unknown")+COUNTIFS('SERVICE ENTRY'!$C$4:$C$1200,'County Report'!A145,'SERVICE ENTRY'!$AL$4:$AL$1200,"Yes Stage Unknown")</f>
        <v>0</v>
      </c>
      <c r="I145" s="186"/>
      <c r="K145" s="242"/>
    </row>
    <row r="146" spans="1:11" x14ac:dyDescent="0.25">
      <c r="A146" s="167" t="s">
        <v>629</v>
      </c>
      <c r="B146" s="126">
        <f>SUM(COUNTIFS('SERVICE ENTRY'!$AG$4:$AG$1200,{"Yes Stage 0","Yes Stage I","Yes Stage II","Yes Stage III","Yes Stage IV","Yes Stage Unknown"},'SERVICE ENTRY'!$C$4:$C$1200,'County Report'!A146))+SUM(COUNTIFS('SERVICE ENTRY'!$AL$4:$AL$1200,{"Yes Stage 0","Yes Stage I","Yes Stage II","Yes Stage III","Yes Stage IV","Yes Stage Unknown"},'SERVICE ENTRY'!$C$4:$C$1200,'County Report'!A146))</f>
        <v>0</v>
      </c>
      <c r="C146" s="124">
        <f>COUNTIFS('SERVICE ENTRY'!$C$4:$C$1200,'County Report'!A146,'SERVICE ENTRY'!$AG$4:$AG$1200,"Yes Stage 0")+COUNTIFS('SERVICE ENTRY'!$C$4:$C$1200,'County Report'!A146,'SERVICE ENTRY'!$AL$4:$AL$1200,"Yes Stage 0")</f>
        <v>0</v>
      </c>
      <c r="D146" s="91">
        <f>COUNTIFS('SERVICE ENTRY'!$C$4:$C$1200,'County Report'!A146,'SERVICE ENTRY'!$AG$4:$AG$1200,"Yes Stage I")+COUNTIFS('SERVICE ENTRY'!$C$4:$C$1200,'County Report'!A146,'SERVICE ENTRY'!$AL$4:$AL$1200,"Yes Stage I")</f>
        <v>0</v>
      </c>
      <c r="E146" s="91">
        <f>COUNTIFS('SERVICE ENTRY'!$C$4:$C$1200,'County Report'!A146,'SERVICE ENTRY'!$AG$4:$AG$1200,"Yes Stage III")+COUNTIFS('SERVICE ENTRY'!$C$4:$C$1200,'County Report'!A146,'SERVICE ENTRY'!$AL$4:$AL$1200,"Yes Stage III")</f>
        <v>0</v>
      </c>
      <c r="F146" s="91">
        <f>COUNTIFS('SERVICE ENTRY'!$C$4:$C$1200,'County Report'!A146,'SERVICE ENTRY'!$AG$4:$AG$1200,"Yes Stage III")+COUNTIFS('SERVICE ENTRY'!$C$4:$C$1200,'County Report'!A146,'SERVICE ENTRY'!$AL$4:$AL$1200,"Yes Stage III")</f>
        <v>0</v>
      </c>
      <c r="G146" s="91">
        <f>COUNTIFS('SERVICE ENTRY'!$C$4:$C$1200,'County Report'!A146,'SERVICE ENTRY'!$AG$4:$AG$1200,"Yes Stage IV")+COUNTIFS('SERVICE ENTRY'!$C$4:$C$1200,'County Report'!A146,'SERVICE ENTRY'!$AL$4:$AL$1200,"Yes Stage IV")</f>
        <v>0</v>
      </c>
      <c r="H146" s="91">
        <f>COUNTIFS('SERVICE ENTRY'!$C$4:$C$1200,'County Report'!A146,'SERVICE ENTRY'!$AG$4:$AG$1200,"Yes Stage Unknown")+COUNTIFS('SERVICE ENTRY'!$C$4:$C$1200,'County Report'!A146,'SERVICE ENTRY'!$AL$4:$AL$1200,"Yes Stage Unknown")</f>
        <v>0</v>
      </c>
      <c r="I146" s="186"/>
      <c r="K146" s="242"/>
    </row>
    <row r="147" spans="1:11" x14ac:dyDescent="0.25">
      <c r="A147" s="167" t="s">
        <v>630</v>
      </c>
      <c r="B147" s="126">
        <f>SUM(COUNTIFS('SERVICE ENTRY'!$AG$4:$AG$1200,{"Yes Stage 0","Yes Stage I","Yes Stage II","Yes Stage III","Yes Stage IV","Yes Stage Unknown"},'SERVICE ENTRY'!$C$4:$C$1200,'County Report'!A147))+SUM(COUNTIFS('SERVICE ENTRY'!$AL$4:$AL$1200,{"Yes Stage 0","Yes Stage I","Yes Stage II","Yes Stage III","Yes Stage IV","Yes Stage Unknown"},'SERVICE ENTRY'!$C$4:$C$1200,'County Report'!A147))</f>
        <v>0</v>
      </c>
      <c r="C147" s="124">
        <f>COUNTIFS('SERVICE ENTRY'!$C$4:$C$1200,'County Report'!A147,'SERVICE ENTRY'!$AG$4:$AG$1200,"Yes Stage 0")+COUNTIFS('SERVICE ENTRY'!$C$4:$C$1200,'County Report'!A147,'SERVICE ENTRY'!$AL$4:$AL$1200,"Yes Stage 0")</f>
        <v>0</v>
      </c>
      <c r="D147" s="91">
        <f>COUNTIFS('SERVICE ENTRY'!$C$4:$C$1200,'County Report'!A147,'SERVICE ENTRY'!$AG$4:$AG$1200,"Yes Stage I")+COUNTIFS('SERVICE ENTRY'!$C$4:$C$1200,'County Report'!A147,'SERVICE ENTRY'!$AL$4:$AL$1200,"Yes Stage I")</f>
        <v>0</v>
      </c>
      <c r="E147" s="91">
        <f>COUNTIFS('SERVICE ENTRY'!$C$4:$C$1200,'County Report'!A147,'SERVICE ENTRY'!$AG$4:$AG$1200,"Yes Stage III")+COUNTIFS('SERVICE ENTRY'!$C$4:$C$1200,'County Report'!A147,'SERVICE ENTRY'!$AL$4:$AL$1200,"Yes Stage III")</f>
        <v>0</v>
      </c>
      <c r="F147" s="91">
        <f>COUNTIFS('SERVICE ENTRY'!$C$4:$C$1200,'County Report'!A147,'SERVICE ENTRY'!$AG$4:$AG$1200,"Yes Stage III")+COUNTIFS('SERVICE ENTRY'!$C$4:$C$1200,'County Report'!A147,'SERVICE ENTRY'!$AL$4:$AL$1200,"Yes Stage III")</f>
        <v>0</v>
      </c>
      <c r="G147" s="91">
        <f>COUNTIFS('SERVICE ENTRY'!$C$4:$C$1200,'County Report'!A147,'SERVICE ENTRY'!$AG$4:$AG$1200,"Yes Stage IV")+COUNTIFS('SERVICE ENTRY'!$C$4:$C$1200,'County Report'!A147,'SERVICE ENTRY'!$AL$4:$AL$1200,"Yes Stage IV")</f>
        <v>0</v>
      </c>
      <c r="H147" s="91">
        <f>COUNTIFS('SERVICE ENTRY'!$C$4:$C$1200,'County Report'!A147,'SERVICE ENTRY'!$AG$4:$AG$1200,"Yes Stage Unknown")+COUNTIFS('SERVICE ENTRY'!$C$4:$C$1200,'County Report'!A147,'SERVICE ENTRY'!$AL$4:$AL$1200,"Yes Stage Unknown")</f>
        <v>0</v>
      </c>
      <c r="I147" s="186"/>
      <c r="K147" s="242"/>
    </row>
    <row r="148" spans="1:11" x14ac:dyDescent="0.25">
      <c r="A148" s="167" t="s">
        <v>631</v>
      </c>
      <c r="B148" s="126">
        <f>SUM(COUNTIFS('SERVICE ENTRY'!$AG$4:$AG$1200,{"Yes Stage 0","Yes Stage I","Yes Stage II","Yes Stage III","Yes Stage IV","Yes Stage Unknown"},'SERVICE ENTRY'!$C$4:$C$1200,'County Report'!A148))+SUM(COUNTIFS('SERVICE ENTRY'!$AL$4:$AL$1200,{"Yes Stage 0","Yes Stage I","Yes Stage II","Yes Stage III","Yes Stage IV","Yes Stage Unknown"},'SERVICE ENTRY'!$C$4:$C$1200,'County Report'!A148))</f>
        <v>0</v>
      </c>
      <c r="C148" s="124">
        <f>COUNTIFS('SERVICE ENTRY'!$C$4:$C$1200,'County Report'!A148,'SERVICE ENTRY'!$AG$4:$AG$1200,"Yes Stage 0")+COUNTIFS('SERVICE ENTRY'!$C$4:$C$1200,'County Report'!A148,'SERVICE ENTRY'!$AL$4:$AL$1200,"Yes Stage 0")</f>
        <v>0</v>
      </c>
      <c r="D148" s="91">
        <f>COUNTIFS('SERVICE ENTRY'!$C$4:$C$1200,'County Report'!A148,'SERVICE ENTRY'!$AG$4:$AG$1200,"Yes Stage I")+COUNTIFS('SERVICE ENTRY'!$C$4:$C$1200,'County Report'!A148,'SERVICE ENTRY'!$AL$4:$AL$1200,"Yes Stage I")</f>
        <v>0</v>
      </c>
      <c r="E148" s="91">
        <f>COUNTIFS('SERVICE ENTRY'!$C$4:$C$1200,'County Report'!A148,'SERVICE ENTRY'!$AG$4:$AG$1200,"Yes Stage III")+COUNTIFS('SERVICE ENTRY'!$C$4:$C$1200,'County Report'!A148,'SERVICE ENTRY'!$AL$4:$AL$1200,"Yes Stage III")</f>
        <v>0</v>
      </c>
      <c r="F148" s="91">
        <f>COUNTIFS('SERVICE ENTRY'!$C$4:$C$1200,'County Report'!A148,'SERVICE ENTRY'!$AG$4:$AG$1200,"Yes Stage III")+COUNTIFS('SERVICE ENTRY'!$C$4:$C$1200,'County Report'!A148,'SERVICE ENTRY'!$AL$4:$AL$1200,"Yes Stage III")</f>
        <v>0</v>
      </c>
      <c r="G148" s="91">
        <f>COUNTIFS('SERVICE ENTRY'!$C$4:$C$1200,'County Report'!A148,'SERVICE ENTRY'!$AG$4:$AG$1200,"Yes Stage IV")+COUNTIFS('SERVICE ENTRY'!$C$4:$C$1200,'County Report'!A148,'SERVICE ENTRY'!$AL$4:$AL$1200,"Yes Stage IV")</f>
        <v>0</v>
      </c>
      <c r="H148" s="91">
        <f>COUNTIFS('SERVICE ENTRY'!$C$4:$C$1200,'County Report'!A148,'SERVICE ENTRY'!$AG$4:$AG$1200,"Yes Stage Unknown")+COUNTIFS('SERVICE ENTRY'!$C$4:$C$1200,'County Report'!A148,'SERVICE ENTRY'!$AL$4:$AL$1200,"Yes Stage Unknown")</f>
        <v>0</v>
      </c>
      <c r="I148" s="186"/>
      <c r="K148" s="242"/>
    </row>
    <row r="149" spans="1:11" x14ac:dyDescent="0.25">
      <c r="A149" s="167" t="s">
        <v>632</v>
      </c>
      <c r="B149" s="126">
        <f>SUM(COUNTIFS('SERVICE ENTRY'!$AG$4:$AG$1200,{"Yes Stage 0","Yes Stage I","Yes Stage II","Yes Stage III","Yes Stage IV","Yes Stage Unknown"},'SERVICE ENTRY'!$C$4:$C$1200,'County Report'!A149))+SUM(COUNTIFS('SERVICE ENTRY'!$AL$4:$AL$1200,{"Yes Stage 0","Yes Stage I","Yes Stage II","Yes Stage III","Yes Stage IV","Yes Stage Unknown"},'SERVICE ENTRY'!$C$4:$C$1200,'County Report'!A149))</f>
        <v>0</v>
      </c>
      <c r="C149" s="124">
        <f>COUNTIFS('SERVICE ENTRY'!$C$4:$C$1200,'County Report'!A149,'SERVICE ENTRY'!$AG$4:$AG$1200,"Yes Stage 0")+COUNTIFS('SERVICE ENTRY'!$C$4:$C$1200,'County Report'!A149,'SERVICE ENTRY'!$AL$4:$AL$1200,"Yes Stage 0")</f>
        <v>0</v>
      </c>
      <c r="D149" s="91">
        <f>COUNTIFS('SERVICE ENTRY'!$C$4:$C$1200,'County Report'!A149,'SERVICE ENTRY'!$AG$4:$AG$1200,"Yes Stage I")+COUNTIFS('SERVICE ENTRY'!$C$4:$C$1200,'County Report'!A149,'SERVICE ENTRY'!$AL$4:$AL$1200,"Yes Stage I")</f>
        <v>0</v>
      </c>
      <c r="E149" s="91">
        <f>COUNTIFS('SERVICE ENTRY'!$C$4:$C$1200,'County Report'!A149,'SERVICE ENTRY'!$AG$4:$AG$1200,"Yes Stage III")+COUNTIFS('SERVICE ENTRY'!$C$4:$C$1200,'County Report'!A149,'SERVICE ENTRY'!$AL$4:$AL$1200,"Yes Stage III")</f>
        <v>0</v>
      </c>
      <c r="F149" s="91">
        <f>COUNTIFS('SERVICE ENTRY'!$C$4:$C$1200,'County Report'!A149,'SERVICE ENTRY'!$AG$4:$AG$1200,"Yes Stage III")+COUNTIFS('SERVICE ENTRY'!$C$4:$C$1200,'County Report'!A149,'SERVICE ENTRY'!$AL$4:$AL$1200,"Yes Stage III")</f>
        <v>0</v>
      </c>
      <c r="G149" s="91">
        <f>COUNTIFS('SERVICE ENTRY'!$C$4:$C$1200,'County Report'!A149,'SERVICE ENTRY'!$AG$4:$AG$1200,"Yes Stage IV")+COUNTIFS('SERVICE ENTRY'!$C$4:$C$1200,'County Report'!A149,'SERVICE ENTRY'!$AL$4:$AL$1200,"Yes Stage IV")</f>
        <v>0</v>
      </c>
      <c r="H149" s="91">
        <f>COUNTIFS('SERVICE ENTRY'!$C$4:$C$1200,'County Report'!A149,'SERVICE ENTRY'!$AG$4:$AG$1200,"Yes Stage Unknown")+COUNTIFS('SERVICE ENTRY'!$C$4:$C$1200,'County Report'!A149,'SERVICE ENTRY'!$AL$4:$AL$1200,"Yes Stage Unknown")</f>
        <v>0</v>
      </c>
      <c r="I149" s="186"/>
      <c r="K149" s="242"/>
    </row>
    <row r="150" spans="1:11" x14ac:dyDescent="0.25">
      <c r="A150" s="167" t="s">
        <v>633</v>
      </c>
      <c r="B150" s="126">
        <f>SUM(COUNTIFS('SERVICE ENTRY'!$AG$4:$AG$1200,{"Yes Stage 0","Yes Stage I","Yes Stage II","Yes Stage III","Yes Stage IV","Yes Stage Unknown"},'SERVICE ENTRY'!$C$4:$C$1200,'County Report'!A150))+SUM(COUNTIFS('SERVICE ENTRY'!$AL$4:$AL$1200,{"Yes Stage 0","Yes Stage I","Yes Stage II","Yes Stage III","Yes Stage IV","Yes Stage Unknown"},'SERVICE ENTRY'!$C$4:$C$1200,'County Report'!A150))</f>
        <v>0</v>
      </c>
      <c r="C150" s="124">
        <f>COUNTIFS('SERVICE ENTRY'!$C$4:$C$1200,'County Report'!A150,'SERVICE ENTRY'!$AG$4:$AG$1200,"Yes Stage 0")+COUNTIFS('SERVICE ENTRY'!$C$4:$C$1200,'County Report'!A150,'SERVICE ENTRY'!$AL$4:$AL$1200,"Yes Stage 0")</f>
        <v>0</v>
      </c>
      <c r="D150" s="91">
        <f>COUNTIFS('SERVICE ENTRY'!$C$4:$C$1200,'County Report'!A150,'SERVICE ENTRY'!$AG$4:$AG$1200,"Yes Stage I")+COUNTIFS('SERVICE ENTRY'!$C$4:$C$1200,'County Report'!A150,'SERVICE ENTRY'!$AL$4:$AL$1200,"Yes Stage I")</f>
        <v>0</v>
      </c>
      <c r="E150" s="91">
        <f>COUNTIFS('SERVICE ENTRY'!$C$4:$C$1200,'County Report'!A150,'SERVICE ENTRY'!$AG$4:$AG$1200,"Yes Stage III")+COUNTIFS('SERVICE ENTRY'!$C$4:$C$1200,'County Report'!A150,'SERVICE ENTRY'!$AL$4:$AL$1200,"Yes Stage III")</f>
        <v>0</v>
      </c>
      <c r="F150" s="91">
        <f>COUNTIFS('SERVICE ENTRY'!$C$4:$C$1200,'County Report'!A150,'SERVICE ENTRY'!$AG$4:$AG$1200,"Yes Stage III")+COUNTIFS('SERVICE ENTRY'!$C$4:$C$1200,'County Report'!A150,'SERVICE ENTRY'!$AL$4:$AL$1200,"Yes Stage III")</f>
        <v>0</v>
      </c>
      <c r="G150" s="91">
        <f>COUNTIFS('SERVICE ENTRY'!$C$4:$C$1200,'County Report'!A150,'SERVICE ENTRY'!$AG$4:$AG$1200,"Yes Stage IV")+COUNTIFS('SERVICE ENTRY'!$C$4:$C$1200,'County Report'!A150,'SERVICE ENTRY'!$AL$4:$AL$1200,"Yes Stage IV")</f>
        <v>0</v>
      </c>
      <c r="H150" s="91">
        <f>COUNTIFS('SERVICE ENTRY'!$C$4:$C$1200,'County Report'!A150,'SERVICE ENTRY'!$AG$4:$AG$1200,"Yes Stage Unknown")+COUNTIFS('SERVICE ENTRY'!$C$4:$C$1200,'County Report'!A150,'SERVICE ENTRY'!$AL$4:$AL$1200,"Yes Stage Unknown")</f>
        <v>0</v>
      </c>
      <c r="I150" s="186"/>
      <c r="K150" s="242"/>
    </row>
    <row r="151" spans="1:11" x14ac:dyDescent="0.25">
      <c r="A151" s="167" t="s">
        <v>634</v>
      </c>
      <c r="B151" s="126">
        <f>SUM(COUNTIFS('SERVICE ENTRY'!$AG$4:$AG$1200,{"Yes Stage 0","Yes Stage I","Yes Stage II","Yes Stage III","Yes Stage IV","Yes Stage Unknown"},'SERVICE ENTRY'!$C$4:$C$1200,'County Report'!A151))+SUM(COUNTIFS('SERVICE ENTRY'!$AL$4:$AL$1200,{"Yes Stage 0","Yes Stage I","Yes Stage II","Yes Stage III","Yes Stage IV","Yes Stage Unknown"},'SERVICE ENTRY'!$C$4:$C$1200,'County Report'!A151))</f>
        <v>0</v>
      </c>
      <c r="C151" s="124">
        <f>COUNTIFS('SERVICE ENTRY'!$C$4:$C$1200,'County Report'!A151,'SERVICE ENTRY'!$AG$4:$AG$1200,"Yes Stage 0")+COUNTIFS('SERVICE ENTRY'!$C$4:$C$1200,'County Report'!A151,'SERVICE ENTRY'!$AL$4:$AL$1200,"Yes Stage 0")</f>
        <v>0</v>
      </c>
      <c r="D151" s="91">
        <f>COUNTIFS('SERVICE ENTRY'!$C$4:$C$1200,'County Report'!A151,'SERVICE ENTRY'!$AG$4:$AG$1200,"Yes Stage I")+COUNTIFS('SERVICE ENTRY'!$C$4:$C$1200,'County Report'!A151,'SERVICE ENTRY'!$AL$4:$AL$1200,"Yes Stage I")</f>
        <v>0</v>
      </c>
      <c r="E151" s="91">
        <f>COUNTIFS('SERVICE ENTRY'!$C$4:$C$1200,'County Report'!A151,'SERVICE ENTRY'!$AG$4:$AG$1200,"Yes Stage III")+COUNTIFS('SERVICE ENTRY'!$C$4:$C$1200,'County Report'!A151,'SERVICE ENTRY'!$AL$4:$AL$1200,"Yes Stage III")</f>
        <v>0</v>
      </c>
      <c r="F151" s="91">
        <f>COUNTIFS('SERVICE ENTRY'!$C$4:$C$1200,'County Report'!A151,'SERVICE ENTRY'!$AG$4:$AG$1200,"Yes Stage III")+COUNTIFS('SERVICE ENTRY'!$C$4:$C$1200,'County Report'!A151,'SERVICE ENTRY'!$AL$4:$AL$1200,"Yes Stage III")</f>
        <v>0</v>
      </c>
      <c r="G151" s="91">
        <f>COUNTIFS('SERVICE ENTRY'!$C$4:$C$1200,'County Report'!A151,'SERVICE ENTRY'!$AG$4:$AG$1200,"Yes Stage IV")+COUNTIFS('SERVICE ENTRY'!$C$4:$C$1200,'County Report'!A151,'SERVICE ENTRY'!$AL$4:$AL$1200,"Yes Stage IV")</f>
        <v>0</v>
      </c>
      <c r="H151" s="91">
        <f>COUNTIFS('SERVICE ENTRY'!$C$4:$C$1200,'County Report'!A151,'SERVICE ENTRY'!$AG$4:$AG$1200,"Yes Stage Unknown")+COUNTIFS('SERVICE ENTRY'!$C$4:$C$1200,'County Report'!A151,'SERVICE ENTRY'!$AL$4:$AL$1200,"Yes Stage Unknown")</f>
        <v>0</v>
      </c>
      <c r="I151" s="186"/>
      <c r="K151" s="242"/>
    </row>
    <row r="152" spans="1:11" x14ac:dyDescent="0.25">
      <c r="A152" s="167" t="s">
        <v>635</v>
      </c>
      <c r="B152" s="126">
        <f>SUM(COUNTIFS('SERVICE ENTRY'!$AG$4:$AG$1200,{"Yes Stage 0","Yes Stage I","Yes Stage II","Yes Stage III","Yes Stage IV","Yes Stage Unknown"},'SERVICE ENTRY'!$C$4:$C$1200,'County Report'!A152))+SUM(COUNTIFS('SERVICE ENTRY'!$AL$4:$AL$1200,{"Yes Stage 0","Yes Stage I","Yes Stage II","Yes Stage III","Yes Stage IV","Yes Stage Unknown"},'SERVICE ENTRY'!$C$4:$C$1200,'County Report'!A152))</f>
        <v>0</v>
      </c>
      <c r="C152" s="124">
        <f>COUNTIFS('SERVICE ENTRY'!$C$4:$C$1200,'County Report'!A152,'SERVICE ENTRY'!$AG$4:$AG$1200,"Yes Stage 0")+COUNTIFS('SERVICE ENTRY'!$C$4:$C$1200,'County Report'!A152,'SERVICE ENTRY'!$AL$4:$AL$1200,"Yes Stage 0")</f>
        <v>0</v>
      </c>
      <c r="D152" s="91">
        <f>COUNTIFS('SERVICE ENTRY'!$C$4:$C$1200,'County Report'!A152,'SERVICE ENTRY'!$AG$4:$AG$1200,"Yes Stage I")+COUNTIFS('SERVICE ENTRY'!$C$4:$C$1200,'County Report'!A152,'SERVICE ENTRY'!$AL$4:$AL$1200,"Yes Stage I")</f>
        <v>0</v>
      </c>
      <c r="E152" s="91">
        <f>COUNTIFS('SERVICE ENTRY'!$C$4:$C$1200,'County Report'!A152,'SERVICE ENTRY'!$AG$4:$AG$1200,"Yes Stage III")+COUNTIFS('SERVICE ENTRY'!$C$4:$C$1200,'County Report'!A152,'SERVICE ENTRY'!$AL$4:$AL$1200,"Yes Stage III")</f>
        <v>0</v>
      </c>
      <c r="F152" s="91">
        <f>COUNTIFS('SERVICE ENTRY'!$C$4:$C$1200,'County Report'!A152,'SERVICE ENTRY'!$AG$4:$AG$1200,"Yes Stage III")+COUNTIFS('SERVICE ENTRY'!$C$4:$C$1200,'County Report'!A152,'SERVICE ENTRY'!$AL$4:$AL$1200,"Yes Stage III")</f>
        <v>0</v>
      </c>
      <c r="G152" s="91">
        <f>COUNTIFS('SERVICE ENTRY'!$C$4:$C$1200,'County Report'!A152,'SERVICE ENTRY'!$AG$4:$AG$1200,"Yes Stage IV")+COUNTIFS('SERVICE ENTRY'!$C$4:$C$1200,'County Report'!A152,'SERVICE ENTRY'!$AL$4:$AL$1200,"Yes Stage IV")</f>
        <v>0</v>
      </c>
      <c r="H152" s="91">
        <f>COUNTIFS('SERVICE ENTRY'!$C$4:$C$1200,'County Report'!A152,'SERVICE ENTRY'!$AG$4:$AG$1200,"Yes Stage Unknown")+COUNTIFS('SERVICE ENTRY'!$C$4:$C$1200,'County Report'!A152,'SERVICE ENTRY'!$AL$4:$AL$1200,"Yes Stage Unknown")</f>
        <v>0</v>
      </c>
      <c r="I152" s="186"/>
      <c r="K152" s="242"/>
    </row>
    <row r="153" spans="1:11" x14ac:dyDescent="0.25">
      <c r="A153" s="167" t="s">
        <v>636</v>
      </c>
      <c r="B153" s="126">
        <f>SUM(COUNTIFS('SERVICE ENTRY'!$AG$4:$AG$1200,{"Yes Stage 0","Yes Stage I","Yes Stage II","Yes Stage III","Yes Stage IV","Yes Stage Unknown"},'SERVICE ENTRY'!$C$4:$C$1200,'County Report'!A153))+SUM(COUNTIFS('SERVICE ENTRY'!$AL$4:$AL$1200,{"Yes Stage 0","Yes Stage I","Yes Stage II","Yes Stage III","Yes Stage IV","Yes Stage Unknown"},'SERVICE ENTRY'!$C$4:$C$1200,'County Report'!A153))</f>
        <v>0</v>
      </c>
      <c r="C153" s="124">
        <f>COUNTIFS('SERVICE ENTRY'!$C$4:$C$1200,'County Report'!A153,'SERVICE ENTRY'!$AG$4:$AG$1200,"Yes Stage 0")+COUNTIFS('SERVICE ENTRY'!$C$4:$C$1200,'County Report'!A153,'SERVICE ENTRY'!$AL$4:$AL$1200,"Yes Stage 0")</f>
        <v>0</v>
      </c>
      <c r="D153" s="91">
        <f>COUNTIFS('SERVICE ENTRY'!$C$4:$C$1200,'County Report'!A153,'SERVICE ENTRY'!$AG$4:$AG$1200,"Yes Stage I")+COUNTIFS('SERVICE ENTRY'!$C$4:$C$1200,'County Report'!A153,'SERVICE ENTRY'!$AL$4:$AL$1200,"Yes Stage I")</f>
        <v>0</v>
      </c>
      <c r="E153" s="91">
        <f>COUNTIFS('SERVICE ENTRY'!$C$4:$C$1200,'County Report'!A153,'SERVICE ENTRY'!$AG$4:$AG$1200,"Yes Stage III")+COUNTIFS('SERVICE ENTRY'!$C$4:$C$1200,'County Report'!A153,'SERVICE ENTRY'!$AL$4:$AL$1200,"Yes Stage III")</f>
        <v>0</v>
      </c>
      <c r="F153" s="91">
        <f>COUNTIFS('SERVICE ENTRY'!$C$4:$C$1200,'County Report'!A153,'SERVICE ENTRY'!$AG$4:$AG$1200,"Yes Stage III")+COUNTIFS('SERVICE ENTRY'!$C$4:$C$1200,'County Report'!A153,'SERVICE ENTRY'!$AL$4:$AL$1200,"Yes Stage III")</f>
        <v>0</v>
      </c>
      <c r="G153" s="91">
        <f>COUNTIFS('SERVICE ENTRY'!$C$4:$C$1200,'County Report'!A153,'SERVICE ENTRY'!$AG$4:$AG$1200,"Yes Stage IV")+COUNTIFS('SERVICE ENTRY'!$C$4:$C$1200,'County Report'!A153,'SERVICE ENTRY'!$AL$4:$AL$1200,"Yes Stage IV")</f>
        <v>0</v>
      </c>
      <c r="H153" s="91">
        <f>COUNTIFS('SERVICE ENTRY'!$C$4:$C$1200,'County Report'!A153,'SERVICE ENTRY'!$AG$4:$AG$1200,"Yes Stage Unknown")+COUNTIFS('SERVICE ENTRY'!$C$4:$C$1200,'County Report'!A153,'SERVICE ENTRY'!$AL$4:$AL$1200,"Yes Stage Unknown")</f>
        <v>0</v>
      </c>
      <c r="I153" s="186"/>
      <c r="K153" s="242"/>
    </row>
    <row r="154" spans="1:11" x14ac:dyDescent="0.25">
      <c r="A154" s="167" t="s">
        <v>637</v>
      </c>
      <c r="B154" s="126">
        <f>SUM(COUNTIFS('SERVICE ENTRY'!$AG$4:$AG$1200,{"Yes Stage 0","Yes Stage I","Yes Stage II","Yes Stage III","Yes Stage IV","Yes Stage Unknown"},'SERVICE ENTRY'!$C$4:$C$1200,'County Report'!A154))+SUM(COUNTIFS('SERVICE ENTRY'!$AL$4:$AL$1200,{"Yes Stage 0","Yes Stage I","Yes Stage II","Yes Stage III","Yes Stage IV","Yes Stage Unknown"},'SERVICE ENTRY'!$C$4:$C$1200,'County Report'!A154))</f>
        <v>0</v>
      </c>
      <c r="C154" s="124">
        <f>COUNTIFS('SERVICE ENTRY'!$C$4:$C$1200,'County Report'!A154,'SERVICE ENTRY'!$AG$4:$AG$1200,"Yes Stage 0")+COUNTIFS('SERVICE ENTRY'!$C$4:$C$1200,'County Report'!A154,'SERVICE ENTRY'!$AL$4:$AL$1200,"Yes Stage 0")</f>
        <v>0</v>
      </c>
      <c r="D154" s="91">
        <f>COUNTIFS('SERVICE ENTRY'!$C$4:$C$1200,'County Report'!A154,'SERVICE ENTRY'!$AG$4:$AG$1200,"Yes Stage I")+COUNTIFS('SERVICE ENTRY'!$C$4:$C$1200,'County Report'!A154,'SERVICE ENTRY'!$AL$4:$AL$1200,"Yes Stage I")</f>
        <v>0</v>
      </c>
      <c r="E154" s="91">
        <f>COUNTIFS('SERVICE ENTRY'!$C$4:$C$1200,'County Report'!A154,'SERVICE ENTRY'!$AG$4:$AG$1200,"Yes Stage III")+COUNTIFS('SERVICE ENTRY'!$C$4:$C$1200,'County Report'!A154,'SERVICE ENTRY'!$AL$4:$AL$1200,"Yes Stage III")</f>
        <v>0</v>
      </c>
      <c r="F154" s="91">
        <f>COUNTIFS('SERVICE ENTRY'!$C$4:$C$1200,'County Report'!A154,'SERVICE ENTRY'!$AG$4:$AG$1200,"Yes Stage III")+COUNTIFS('SERVICE ENTRY'!$C$4:$C$1200,'County Report'!A154,'SERVICE ENTRY'!$AL$4:$AL$1200,"Yes Stage III")</f>
        <v>0</v>
      </c>
      <c r="G154" s="91">
        <f>COUNTIFS('SERVICE ENTRY'!$C$4:$C$1200,'County Report'!A154,'SERVICE ENTRY'!$AG$4:$AG$1200,"Yes Stage IV")+COUNTIFS('SERVICE ENTRY'!$C$4:$C$1200,'County Report'!A154,'SERVICE ENTRY'!$AL$4:$AL$1200,"Yes Stage IV")</f>
        <v>0</v>
      </c>
      <c r="H154" s="91">
        <f>COUNTIFS('SERVICE ENTRY'!$C$4:$C$1200,'County Report'!A154,'SERVICE ENTRY'!$AG$4:$AG$1200,"Yes Stage Unknown")+COUNTIFS('SERVICE ENTRY'!$C$4:$C$1200,'County Report'!A154,'SERVICE ENTRY'!$AL$4:$AL$1200,"Yes Stage Unknown")</f>
        <v>0</v>
      </c>
      <c r="I154" s="186"/>
      <c r="K154" s="242"/>
    </row>
    <row r="155" spans="1:11" x14ac:dyDescent="0.25">
      <c r="A155" s="167" t="s">
        <v>638</v>
      </c>
      <c r="B155" s="126">
        <f>SUM(COUNTIFS('SERVICE ENTRY'!$AG$4:$AG$1200,{"Yes Stage 0","Yes Stage I","Yes Stage II","Yes Stage III","Yes Stage IV","Yes Stage Unknown"},'SERVICE ENTRY'!$C$4:$C$1200,'County Report'!A155))+SUM(COUNTIFS('SERVICE ENTRY'!$AL$4:$AL$1200,{"Yes Stage 0","Yes Stage I","Yes Stage II","Yes Stage III","Yes Stage IV","Yes Stage Unknown"},'SERVICE ENTRY'!$C$4:$C$1200,'County Report'!A155))</f>
        <v>0</v>
      </c>
      <c r="C155" s="124">
        <f>COUNTIFS('SERVICE ENTRY'!$C$4:$C$1200,'County Report'!A155,'SERVICE ENTRY'!$AG$4:$AG$1200,"Yes Stage 0")+COUNTIFS('SERVICE ENTRY'!$C$4:$C$1200,'County Report'!A155,'SERVICE ENTRY'!$AL$4:$AL$1200,"Yes Stage 0")</f>
        <v>0</v>
      </c>
      <c r="D155" s="91">
        <f>COUNTIFS('SERVICE ENTRY'!$C$4:$C$1200,'County Report'!A155,'SERVICE ENTRY'!$AG$4:$AG$1200,"Yes Stage I")+COUNTIFS('SERVICE ENTRY'!$C$4:$C$1200,'County Report'!A155,'SERVICE ENTRY'!$AL$4:$AL$1200,"Yes Stage I")</f>
        <v>0</v>
      </c>
      <c r="E155" s="91">
        <f>COUNTIFS('SERVICE ENTRY'!$C$4:$C$1200,'County Report'!A155,'SERVICE ENTRY'!$AG$4:$AG$1200,"Yes Stage III")+COUNTIFS('SERVICE ENTRY'!$C$4:$C$1200,'County Report'!A155,'SERVICE ENTRY'!$AL$4:$AL$1200,"Yes Stage III")</f>
        <v>0</v>
      </c>
      <c r="F155" s="91">
        <f>COUNTIFS('SERVICE ENTRY'!$C$4:$C$1200,'County Report'!A155,'SERVICE ENTRY'!$AG$4:$AG$1200,"Yes Stage III")+COUNTIFS('SERVICE ENTRY'!$C$4:$C$1200,'County Report'!A155,'SERVICE ENTRY'!$AL$4:$AL$1200,"Yes Stage III")</f>
        <v>0</v>
      </c>
      <c r="G155" s="91">
        <f>COUNTIFS('SERVICE ENTRY'!$C$4:$C$1200,'County Report'!A155,'SERVICE ENTRY'!$AG$4:$AG$1200,"Yes Stage IV")+COUNTIFS('SERVICE ENTRY'!$C$4:$C$1200,'County Report'!A155,'SERVICE ENTRY'!$AL$4:$AL$1200,"Yes Stage IV")</f>
        <v>0</v>
      </c>
      <c r="H155" s="91">
        <f>COUNTIFS('SERVICE ENTRY'!$C$4:$C$1200,'County Report'!A155,'SERVICE ENTRY'!$AG$4:$AG$1200,"Yes Stage Unknown")+COUNTIFS('SERVICE ENTRY'!$C$4:$C$1200,'County Report'!A155,'SERVICE ENTRY'!$AL$4:$AL$1200,"Yes Stage Unknown")</f>
        <v>0</v>
      </c>
      <c r="I155" s="186"/>
      <c r="K155" s="242"/>
    </row>
    <row r="156" spans="1:11" x14ac:dyDescent="0.25">
      <c r="A156" s="167" t="s">
        <v>639</v>
      </c>
      <c r="B156" s="126">
        <f>SUM(COUNTIFS('SERVICE ENTRY'!$AG$4:$AG$1200,{"Yes Stage 0","Yes Stage I","Yes Stage II","Yes Stage III","Yes Stage IV","Yes Stage Unknown"},'SERVICE ENTRY'!$C$4:$C$1200,'County Report'!A156))+SUM(COUNTIFS('SERVICE ENTRY'!$AL$4:$AL$1200,{"Yes Stage 0","Yes Stage I","Yes Stage II","Yes Stage III","Yes Stage IV","Yes Stage Unknown"},'SERVICE ENTRY'!$C$4:$C$1200,'County Report'!A156))</f>
        <v>0</v>
      </c>
      <c r="C156" s="124">
        <f>COUNTIFS('SERVICE ENTRY'!$C$4:$C$1200,'County Report'!A156,'SERVICE ENTRY'!$AG$4:$AG$1200,"Yes Stage 0")+COUNTIFS('SERVICE ENTRY'!$C$4:$C$1200,'County Report'!A156,'SERVICE ENTRY'!$AL$4:$AL$1200,"Yes Stage 0")</f>
        <v>0</v>
      </c>
      <c r="D156" s="91">
        <f>COUNTIFS('SERVICE ENTRY'!$C$4:$C$1200,'County Report'!A156,'SERVICE ENTRY'!$AG$4:$AG$1200,"Yes Stage I")+COUNTIFS('SERVICE ENTRY'!$C$4:$C$1200,'County Report'!A156,'SERVICE ENTRY'!$AL$4:$AL$1200,"Yes Stage I")</f>
        <v>0</v>
      </c>
      <c r="E156" s="91">
        <f>COUNTIFS('SERVICE ENTRY'!$C$4:$C$1200,'County Report'!A156,'SERVICE ENTRY'!$AG$4:$AG$1200,"Yes Stage III")+COUNTIFS('SERVICE ENTRY'!$C$4:$C$1200,'County Report'!A156,'SERVICE ENTRY'!$AL$4:$AL$1200,"Yes Stage III")</f>
        <v>0</v>
      </c>
      <c r="F156" s="91">
        <f>COUNTIFS('SERVICE ENTRY'!$C$4:$C$1200,'County Report'!A156,'SERVICE ENTRY'!$AG$4:$AG$1200,"Yes Stage III")+COUNTIFS('SERVICE ENTRY'!$C$4:$C$1200,'County Report'!A156,'SERVICE ENTRY'!$AL$4:$AL$1200,"Yes Stage III")</f>
        <v>0</v>
      </c>
      <c r="G156" s="91">
        <f>COUNTIFS('SERVICE ENTRY'!$C$4:$C$1200,'County Report'!A156,'SERVICE ENTRY'!$AG$4:$AG$1200,"Yes Stage IV")+COUNTIFS('SERVICE ENTRY'!$C$4:$C$1200,'County Report'!A156,'SERVICE ENTRY'!$AL$4:$AL$1200,"Yes Stage IV")</f>
        <v>0</v>
      </c>
      <c r="H156" s="91">
        <f>COUNTIFS('SERVICE ENTRY'!$C$4:$C$1200,'County Report'!A156,'SERVICE ENTRY'!$AG$4:$AG$1200,"Yes Stage Unknown")+COUNTIFS('SERVICE ENTRY'!$C$4:$C$1200,'County Report'!A156,'SERVICE ENTRY'!$AL$4:$AL$1200,"Yes Stage Unknown")</f>
        <v>0</v>
      </c>
      <c r="I156" s="186"/>
      <c r="K156" s="242"/>
    </row>
    <row r="157" spans="1:11" x14ac:dyDescent="0.25">
      <c r="A157" s="167" t="s">
        <v>640</v>
      </c>
      <c r="B157" s="126">
        <f>SUM(COUNTIFS('SERVICE ENTRY'!$AG$4:$AG$1200,{"Yes Stage 0","Yes Stage I","Yes Stage II","Yes Stage III","Yes Stage IV","Yes Stage Unknown"},'SERVICE ENTRY'!$C$4:$C$1200,'County Report'!A157))+SUM(COUNTIFS('SERVICE ENTRY'!$AL$4:$AL$1200,{"Yes Stage 0","Yes Stage I","Yes Stage II","Yes Stage III","Yes Stage IV","Yes Stage Unknown"},'SERVICE ENTRY'!$C$4:$C$1200,'County Report'!A157))</f>
        <v>0</v>
      </c>
      <c r="C157" s="124">
        <f>COUNTIFS('SERVICE ENTRY'!$C$4:$C$1200,'County Report'!A157,'SERVICE ENTRY'!$AG$4:$AG$1200,"Yes Stage 0")+COUNTIFS('SERVICE ENTRY'!$C$4:$C$1200,'County Report'!A157,'SERVICE ENTRY'!$AL$4:$AL$1200,"Yes Stage 0")</f>
        <v>0</v>
      </c>
      <c r="D157" s="91">
        <f>COUNTIFS('SERVICE ENTRY'!$C$4:$C$1200,'County Report'!A157,'SERVICE ENTRY'!$AG$4:$AG$1200,"Yes Stage I")+COUNTIFS('SERVICE ENTRY'!$C$4:$C$1200,'County Report'!A157,'SERVICE ENTRY'!$AL$4:$AL$1200,"Yes Stage I")</f>
        <v>0</v>
      </c>
      <c r="E157" s="91">
        <f>COUNTIFS('SERVICE ENTRY'!$C$4:$C$1200,'County Report'!A157,'SERVICE ENTRY'!$AG$4:$AG$1200,"Yes Stage III")+COUNTIFS('SERVICE ENTRY'!$C$4:$C$1200,'County Report'!A157,'SERVICE ENTRY'!$AL$4:$AL$1200,"Yes Stage III")</f>
        <v>0</v>
      </c>
      <c r="F157" s="91">
        <f>COUNTIFS('SERVICE ENTRY'!$C$4:$C$1200,'County Report'!A157,'SERVICE ENTRY'!$AG$4:$AG$1200,"Yes Stage III")+COUNTIFS('SERVICE ENTRY'!$C$4:$C$1200,'County Report'!A157,'SERVICE ENTRY'!$AL$4:$AL$1200,"Yes Stage III")</f>
        <v>0</v>
      </c>
      <c r="G157" s="91">
        <f>COUNTIFS('SERVICE ENTRY'!$C$4:$C$1200,'County Report'!A157,'SERVICE ENTRY'!$AG$4:$AG$1200,"Yes Stage IV")+COUNTIFS('SERVICE ENTRY'!$C$4:$C$1200,'County Report'!A157,'SERVICE ENTRY'!$AL$4:$AL$1200,"Yes Stage IV")</f>
        <v>0</v>
      </c>
      <c r="H157" s="91">
        <f>COUNTIFS('SERVICE ENTRY'!$C$4:$C$1200,'County Report'!A157,'SERVICE ENTRY'!$AG$4:$AG$1200,"Yes Stage Unknown")+COUNTIFS('SERVICE ENTRY'!$C$4:$C$1200,'County Report'!A157,'SERVICE ENTRY'!$AL$4:$AL$1200,"Yes Stage Unknown")</f>
        <v>0</v>
      </c>
      <c r="I157" s="186"/>
      <c r="K157" s="242"/>
    </row>
    <row r="158" spans="1:11" x14ac:dyDescent="0.25">
      <c r="A158" s="167" t="s">
        <v>641</v>
      </c>
      <c r="B158" s="126">
        <f>SUM(COUNTIFS('SERVICE ENTRY'!$AG$4:$AG$1200,{"Yes Stage 0","Yes Stage I","Yes Stage II","Yes Stage III","Yes Stage IV","Yes Stage Unknown"},'SERVICE ENTRY'!$C$4:$C$1200,'County Report'!A158))+SUM(COUNTIFS('SERVICE ENTRY'!$AL$4:$AL$1200,{"Yes Stage 0","Yes Stage I","Yes Stage II","Yes Stage III","Yes Stage IV","Yes Stage Unknown"},'SERVICE ENTRY'!$C$4:$C$1200,'County Report'!A158))</f>
        <v>0</v>
      </c>
      <c r="C158" s="124">
        <f>COUNTIFS('SERVICE ENTRY'!$C$4:$C$1200,'County Report'!A158,'SERVICE ENTRY'!$AG$4:$AG$1200,"Yes Stage 0")+COUNTIFS('SERVICE ENTRY'!$C$4:$C$1200,'County Report'!A158,'SERVICE ENTRY'!$AL$4:$AL$1200,"Yes Stage 0")</f>
        <v>0</v>
      </c>
      <c r="D158" s="91">
        <f>COUNTIFS('SERVICE ENTRY'!$C$4:$C$1200,'County Report'!A158,'SERVICE ENTRY'!$AG$4:$AG$1200,"Yes Stage I")+COUNTIFS('SERVICE ENTRY'!$C$4:$C$1200,'County Report'!A158,'SERVICE ENTRY'!$AL$4:$AL$1200,"Yes Stage I")</f>
        <v>0</v>
      </c>
      <c r="E158" s="91">
        <f>COUNTIFS('SERVICE ENTRY'!$C$4:$C$1200,'County Report'!A158,'SERVICE ENTRY'!$AG$4:$AG$1200,"Yes Stage III")+COUNTIFS('SERVICE ENTRY'!$C$4:$C$1200,'County Report'!A158,'SERVICE ENTRY'!$AL$4:$AL$1200,"Yes Stage III")</f>
        <v>0</v>
      </c>
      <c r="F158" s="91">
        <f>COUNTIFS('SERVICE ENTRY'!$C$4:$C$1200,'County Report'!A158,'SERVICE ENTRY'!$AG$4:$AG$1200,"Yes Stage III")+COUNTIFS('SERVICE ENTRY'!$C$4:$C$1200,'County Report'!A158,'SERVICE ENTRY'!$AL$4:$AL$1200,"Yes Stage III")</f>
        <v>0</v>
      </c>
      <c r="G158" s="91">
        <f>COUNTIFS('SERVICE ENTRY'!$C$4:$C$1200,'County Report'!A158,'SERVICE ENTRY'!$AG$4:$AG$1200,"Yes Stage IV")+COUNTIFS('SERVICE ENTRY'!$C$4:$C$1200,'County Report'!A158,'SERVICE ENTRY'!$AL$4:$AL$1200,"Yes Stage IV")</f>
        <v>0</v>
      </c>
      <c r="H158" s="91">
        <f>COUNTIFS('SERVICE ENTRY'!$C$4:$C$1200,'County Report'!A158,'SERVICE ENTRY'!$AG$4:$AG$1200,"Yes Stage Unknown")+COUNTIFS('SERVICE ENTRY'!$C$4:$C$1200,'County Report'!A158,'SERVICE ENTRY'!$AL$4:$AL$1200,"Yes Stage Unknown")</f>
        <v>0</v>
      </c>
      <c r="I158" s="186"/>
      <c r="K158" s="242"/>
    </row>
    <row r="159" spans="1:11" x14ac:dyDescent="0.25">
      <c r="A159" s="167" t="s">
        <v>642</v>
      </c>
      <c r="B159" s="126">
        <f>SUM(COUNTIFS('SERVICE ENTRY'!$AG$4:$AG$1200,{"Yes Stage 0","Yes Stage I","Yes Stage II","Yes Stage III","Yes Stage IV","Yes Stage Unknown"},'SERVICE ENTRY'!$C$4:$C$1200,'County Report'!A159))+SUM(COUNTIFS('SERVICE ENTRY'!$AL$4:$AL$1200,{"Yes Stage 0","Yes Stage I","Yes Stage II","Yes Stage III","Yes Stage IV","Yes Stage Unknown"},'SERVICE ENTRY'!$C$4:$C$1200,'County Report'!A159))</f>
        <v>0</v>
      </c>
      <c r="C159" s="124">
        <f>COUNTIFS('SERVICE ENTRY'!$C$4:$C$1200,'County Report'!A159,'SERVICE ENTRY'!$AG$4:$AG$1200,"Yes Stage 0")+COUNTIFS('SERVICE ENTRY'!$C$4:$C$1200,'County Report'!A159,'SERVICE ENTRY'!$AL$4:$AL$1200,"Yes Stage 0")</f>
        <v>0</v>
      </c>
      <c r="D159" s="91">
        <f>COUNTIFS('SERVICE ENTRY'!$C$4:$C$1200,'County Report'!A159,'SERVICE ENTRY'!$AG$4:$AG$1200,"Yes Stage I")+COUNTIFS('SERVICE ENTRY'!$C$4:$C$1200,'County Report'!A159,'SERVICE ENTRY'!$AL$4:$AL$1200,"Yes Stage I")</f>
        <v>0</v>
      </c>
      <c r="E159" s="91">
        <f>COUNTIFS('SERVICE ENTRY'!$C$4:$C$1200,'County Report'!A159,'SERVICE ENTRY'!$AG$4:$AG$1200,"Yes Stage III")+COUNTIFS('SERVICE ENTRY'!$C$4:$C$1200,'County Report'!A159,'SERVICE ENTRY'!$AL$4:$AL$1200,"Yes Stage III")</f>
        <v>0</v>
      </c>
      <c r="F159" s="91">
        <f>COUNTIFS('SERVICE ENTRY'!$C$4:$C$1200,'County Report'!A159,'SERVICE ENTRY'!$AG$4:$AG$1200,"Yes Stage III")+COUNTIFS('SERVICE ENTRY'!$C$4:$C$1200,'County Report'!A159,'SERVICE ENTRY'!$AL$4:$AL$1200,"Yes Stage III")</f>
        <v>0</v>
      </c>
      <c r="G159" s="91">
        <f>COUNTIFS('SERVICE ENTRY'!$C$4:$C$1200,'County Report'!A159,'SERVICE ENTRY'!$AG$4:$AG$1200,"Yes Stage IV")+COUNTIFS('SERVICE ENTRY'!$C$4:$C$1200,'County Report'!A159,'SERVICE ENTRY'!$AL$4:$AL$1200,"Yes Stage IV")</f>
        <v>0</v>
      </c>
      <c r="H159" s="91">
        <f>COUNTIFS('SERVICE ENTRY'!$C$4:$C$1200,'County Report'!A159,'SERVICE ENTRY'!$AG$4:$AG$1200,"Yes Stage Unknown")+COUNTIFS('SERVICE ENTRY'!$C$4:$C$1200,'County Report'!A159,'SERVICE ENTRY'!$AL$4:$AL$1200,"Yes Stage Unknown")</f>
        <v>0</v>
      </c>
      <c r="I159" s="186"/>
      <c r="K159" s="242"/>
    </row>
    <row r="160" spans="1:11" x14ac:dyDescent="0.25">
      <c r="A160" s="167" t="s">
        <v>643</v>
      </c>
      <c r="B160" s="126">
        <f>SUM(COUNTIFS('SERVICE ENTRY'!$AG$4:$AG$1200,{"Yes Stage 0","Yes Stage I","Yes Stage II","Yes Stage III","Yes Stage IV","Yes Stage Unknown"},'SERVICE ENTRY'!$C$4:$C$1200,'County Report'!A160))+SUM(COUNTIFS('SERVICE ENTRY'!$AL$4:$AL$1200,{"Yes Stage 0","Yes Stage I","Yes Stage II","Yes Stage III","Yes Stage IV","Yes Stage Unknown"},'SERVICE ENTRY'!$C$4:$C$1200,'County Report'!A160))</f>
        <v>0</v>
      </c>
      <c r="C160" s="124">
        <f>COUNTIFS('SERVICE ENTRY'!$C$4:$C$1200,'County Report'!A160,'SERVICE ENTRY'!$AG$4:$AG$1200,"Yes Stage 0")+COUNTIFS('SERVICE ENTRY'!$C$4:$C$1200,'County Report'!A160,'SERVICE ENTRY'!$AL$4:$AL$1200,"Yes Stage 0")</f>
        <v>0</v>
      </c>
      <c r="D160" s="91">
        <f>COUNTIFS('SERVICE ENTRY'!$C$4:$C$1200,'County Report'!A160,'SERVICE ENTRY'!$AG$4:$AG$1200,"Yes Stage I")+COUNTIFS('SERVICE ENTRY'!$C$4:$C$1200,'County Report'!A160,'SERVICE ENTRY'!$AL$4:$AL$1200,"Yes Stage I")</f>
        <v>0</v>
      </c>
      <c r="E160" s="91">
        <f>COUNTIFS('SERVICE ENTRY'!$C$4:$C$1200,'County Report'!A160,'SERVICE ENTRY'!$AG$4:$AG$1200,"Yes Stage III")+COUNTIFS('SERVICE ENTRY'!$C$4:$C$1200,'County Report'!A160,'SERVICE ENTRY'!$AL$4:$AL$1200,"Yes Stage III")</f>
        <v>0</v>
      </c>
      <c r="F160" s="91">
        <f>COUNTIFS('SERVICE ENTRY'!$C$4:$C$1200,'County Report'!A160,'SERVICE ENTRY'!$AG$4:$AG$1200,"Yes Stage III")+COUNTIFS('SERVICE ENTRY'!$C$4:$C$1200,'County Report'!A160,'SERVICE ENTRY'!$AL$4:$AL$1200,"Yes Stage III")</f>
        <v>0</v>
      </c>
      <c r="G160" s="91">
        <f>COUNTIFS('SERVICE ENTRY'!$C$4:$C$1200,'County Report'!A160,'SERVICE ENTRY'!$AG$4:$AG$1200,"Yes Stage IV")+COUNTIFS('SERVICE ENTRY'!$C$4:$C$1200,'County Report'!A160,'SERVICE ENTRY'!$AL$4:$AL$1200,"Yes Stage IV")</f>
        <v>0</v>
      </c>
      <c r="H160" s="91">
        <f>COUNTIFS('SERVICE ENTRY'!$C$4:$C$1200,'County Report'!A160,'SERVICE ENTRY'!$AG$4:$AG$1200,"Yes Stage Unknown")+COUNTIFS('SERVICE ENTRY'!$C$4:$C$1200,'County Report'!A160,'SERVICE ENTRY'!$AL$4:$AL$1200,"Yes Stage Unknown")</f>
        <v>0</v>
      </c>
      <c r="I160" s="186"/>
      <c r="K160" s="242"/>
    </row>
    <row r="161" spans="1:11" x14ac:dyDescent="0.25">
      <c r="A161" s="167" t="s">
        <v>644</v>
      </c>
      <c r="B161" s="126">
        <f>SUM(COUNTIFS('SERVICE ENTRY'!$AG$4:$AG$1200,{"Yes Stage 0","Yes Stage I","Yes Stage II","Yes Stage III","Yes Stage IV","Yes Stage Unknown"},'SERVICE ENTRY'!$C$4:$C$1200,'County Report'!A161))+SUM(COUNTIFS('SERVICE ENTRY'!$AL$4:$AL$1200,{"Yes Stage 0","Yes Stage I","Yes Stage II","Yes Stage III","Yes Stage IV","Yes Stage Unknown"},'SERVICE ENTRY'!$C$4:$C$1200,'County Report'!A161))</f>
        <v>0</v>
      </c>
      <c r="C161" s="124">
        <f>COUNTIFS('SERVICE ENTRY'!$C$4:$C$1200,'County Report'!A161,'SERVICE ENTRY'!$AG$4:$AG$1200,"Yes Stage 0")+COUNTIFS('SERVICE ENTRY'!$C$4:$C$1200,'County Report'!A161,'SERVICE ENTRY'!$AL$4:$AL$1200,"Yes Stage 0")</f>
        <v>0</v>
      </c>
      <c r="D161" s="91">
        <f>COUNTIFS('SERVICE ENTRY'!$C$4:$C$1200,'County Report'!A161,'SERVICE ENTRY'!$AG$4:$AG$1200,"Yes Stage I")+COUNTIFS('SERVICE ENTRY'!$C$4:$C$1200,'County Report'!A161,'SERVICE ENTRY'!$AL$4:$AL$1200,"Yes Stage I")</f>
        <v>0</v>
      </c>
      <c r="E161" s="91">
        <f>COUNTIFS('SERVICE ENTRY'!$C$4:$C$1200,'County Report'!A161,'SERVICE ENTRY'!$AG$4:$AG$1200,"Yes Stage III")+COUNTIFS('SERVICE ENTRY'!$C$4:$C$1200,'County Report'!A161,'SERVICE ENTRY'!$AL$4:$AL$1200,"Yes Stage III")</f>
        <v>0</v>
      </c>
      <c r="F161" s="91">
        <f>COUNTIFS('SERVICE ENTRY'!$C$4:$C$1200,'County Report'!A161,'SERVICE ENTRY'!$AG$4:$AG$1200,"Yes Stage III")+COUNTIFS('SERVICE ENTRY'!$C$4:$C$1200,'County Report'!A161,'SERVICE ENTRY'!$AL$4:$AL$1200,"Yes Stage III")</f>
        <v>0</v>
      </c>
      <c r="G161" s="91">
        <f>COUNTIFS('SERVICE ENTRY'!$C$4:$C$1200,'County Report'!A161,'SERVICE ENTRY'!$AG$4:$AG$1200,"Yes Stage IV")+COUNTIFS('SERVICE ENTRY'!$C$4:$C$1200,'County Report'!A161,'SERVICE ENTRY'!$AL$4:$AL$1200,"Yes Stage IV")</f>
        <v>0</v>
      </c>
      <c r="H161" s="91">
        <f>COUNTIFS('SERVICE ENTRY'!$C$4:$C$1200,'County Report'!A161,'SERVICE ENTRY'!$AG$4:$AG$1200,"Yes Stage Unknown")+COUNTIFS('SERVICE ENTRY'!$C$4:$C$1200,'County Report'!A161,'SERVICE ENTRY'!$AL$4:$AL$1200,"Yes Stage Unknown")</f>
        <v>0</v>
      </c>
      <c r="I161" s="186"/>
      <c r="K161" s="242"/>
    </row>
    <row r="162" spans="1:11" x14ac:dyDescent="0.25">
      <c r="A162" s="167" t="s">
        <v>645</v>
      </c>
      <c r="B162" s="126">
        <f>SUM(COUNTIFS('SERVICE ENTRY'!$AG$4:$AG$1200,{"Yes Stage 0","Yes Stage I","Yes Stage II","Yes Stage III","Yes Stage IV","Yes Stage Unknown"},'SERVICE ENTRY'!$C$4:$C$1200,'County Report'!A162))+SUM(COUNTIFS('SERVICE ENTRY'!$AL$4:$AL$1200,{"Yes Stage 0","Yes Stage I","Yes Stage II","Yes Stage III","Yes Stage IV","Yes Stage Unknown"},'SERVICE ENTRY'!$C$4:$C$1200,'County Report'!A162))</f>
        <v>0</v>
      </c>
      <c r="C162" s="124">
        <f>COUNTIFS('SERVICE ENTRY'!$C$4:$C$1200,'County Report'!A162,'SERVICE ENTRY'!$AG$4:$AG$1200,"Yes Stage 0")+COUNTIFS('SERVICE ENTRY'!$C$4:$C$1200,'County Report'!A162,'SERVICE ENTRY'!$AL$4:$AL$1200,"Yes Stage 0")</f>
        <v>0</v>
      </c>
      <c r="D162" s="91">
        <f>COUNTIFS('SERVICE ENTRY'!$C$4:$C$1200,'County Report'!A162,'SERVICE ENTRY'!$AG$4:$AG$1200,"Yes Stage I")+COUNTIFS('SERVICE ENTRY'!$C$4:$C$1200,'County Report'!A162,'SERVICE ENTRY'!$AL$4:$AL$1200,"Yes Stage I")</f>
        <v>0</v>
      </c>
      <c r="E162" s="91">
        <f>COUNTIFS('SERVICE ENTRY'!$C$4:$C$1200,'County Report'!A162,'SERVICE ENTRY'!$AG$4:$AG$1200,"Yes Stage III")+COUNTIFS('SERVICE ENTRY'!$C$4:$C$1200,'County Report'!A162,'SERVICE ENTRY'!$AL$4:$AL$1200,"Yes Stage III")</f>
        <v>0</v>
      </c>
      <c r="F162" s="91">
        <f>COUNTIFS('SERVICE ENTRY'!$C$4:$C$1200,'County Report'!A162,'SERVICE ENTRY'!$AG$4:$AG$1200,"Yes Stage III")+COUNTIFS('SERVICE ENTRY'!$C$4:$C$1200,'County Report'!A162,'SERVICE ENTRY'!$AL$4:$AL$1200,"Yes Stage III")</f>
        <v>0</v>
      </c>
      <c r="G162" s="91">
        <f>COUNTIFS('SERVICE ENTRY'!$C$4:$C$1200,'County Report'!A162,'SERVICE ENTRY'!$AG$4:$AG$1200,"Yes Stage IV")+COUNTIFS('SERVICE ENTRY'!$C$4:$C$1200,'County Report'!A162,'SERVICE ENTRY'!$AL$4:$AL$1200,"Yes Stage IV")</f>
        <v>0</v>
      </c>
      <c r="H162" s="91">
        <f>COUNTIFS('SERVICE ENTRY'!$C$4:$C$1200,'County Report'!A162,'SERVICE ENTRY'!$AG$4:$AG$1200,"Yes Stage Unknown")+COUNTIFS('SERVICE ENTRY'!$C$4:$C$1200,'County Report'!A162,'SERVICE ENTRY'!$AL$4:$AL$1200,"Yes Stage Unknown")</f>
        <v>0</v>
      </c>
      <c r="I162" s="186"/>
      <c r="K162" s="242"/>
    </row>
    <row r="163" spans="1:11" x14ac:dyDescent="0.25">
      <c r="A163" s="167" t="s">
        <v>646</v>
      </c>
      <c r="B163" s="126">
        <f>SUM(COUNTIFS('SERVICE ENTRY'!$AG$4:$AG$1200,{"Yes Stage 0","Yes Stage I","Yes Stage II","Yes Stage III","Yes Stage IV","Yes Stage Unknown"},'SERVICE ENTRY'!$C$4:$C$1200,'County Report'!A163))+SUM(COUNTIFS('SERVICE ENTRY'!$AL$4:$AL$1200,{"Yes Stage 0","Yes Stage I","Yes Stage II","Yes Stage III","Yes Stage IV","Yes Stage Unknown"},'SERVICE ENTRY'!$C$4:$C$1200,'County Report'!A163))</f>
        <v>0</v>
      </c>
      <c r="C163" s="124">
        <f>COUNTIFS('SERVICE ENTRY'!$C$4:$C$1200,'County Report'!A163,'SERVICE ENTRY'!$AG$4:$AG$1200,"Yes Stage 0")+COUNTIFS('SERVICE ENTRY'!$C$4:$C$1200,'County Report'!A163,'SERVICE ENTRY'!$AL$4:$AL$1200,"Yes Stage 0")</f>
        <v>0</v>
      </c>
      <c r="D163" s="91">
        <f>COUNTIFS('SERVICE ENTRY'!$C$4:$C$1200,'County Report'!A163,'SERVICE ENTRY'!$AG$4:$AG$1200,"Yes Stage I")+COUNTIFS('SERVICE ENTRY'!$C$4:$C$1200,'County Report'!A163,'SERVICE ENTRY'!$AL$4:$AL$1200,"Yes Stage I")</f>
        <v>0</v>
      </c>
      <c r="E163" s="91">
        <f>COUNTIFS('SERVICE ENTRY'!$C$4:$C$1200,'County Report'!A163,'SERVICE ENTRY'!$AG$4:$AG$1200,"Yes Stage III")+COUNTIFS('SERVICE ENTRY'!$C$4:$C$1200,'County Report'!A163,'SERVICE ENTRY'!$AL$4:$AL$1200,"Yes Stage III")</f>
        <v>0</v>
      </c>
      <c r="F163" s="91">
        <f>COUNTIFS('SERVICE ENTRY'!$C$4:$C$1200,'County Report'!A163,'SERVICE ENTRY'!$AG$4:$AG$1200,"Yes Stage III")+COUNTIFS('SERVICE ENTRY'!$C$4:$C$1200,'County Report'!A163,'SERVICE ENTRY'!$AL$4:$AL$1200,"Yes Stage III")</f>
        <v>0</v>
      </c>
      <c r="G163" s="91">
        <f>COUNTIFS('SERVICE ENTRY'!$C$4:$C$1200,'County Report'!A163,'SERVICE ENTRY'!$AG$4:$AG$1200,"Yes Stage IV")+COUNTIFS('SERVICE ENTRY'!$C$4:$C$1200,'County Report'!A163,'SERVICE ENTRY'!$AL$4:$AL$1200,"Yes Stage IV")</f>
        <v>0</v>
      </c>
      <c r="H163" s="91">
        <f>COUNTIFS('SERVICE ENTRY'!$C$4:$C$1200,'County Report'!A163,'SERVICE ENTRY'!$AG$4:$AG$1200,"Yes Stage Unknown")+COUNTIFS('SERVICE ENTRY'!$C$4:$C$1200,'County Report'!A163,'SERVICE ENTRY'!$AL$4:$AL$1200,"Yes Stage Unknown")</f>
        <v>0</v>
      </c>
      <c r="I163" s="186"/>
      <c r="K163" s="242"/>
    </row>
    <row r="164" spans="1:11" x14ac:dyDescent="0.25">
      <c r="A164" s="167" t="s">
        <v>647</v>
      </c>
      <c r="B164" s="126">
        <f>SUM(COUNTIFS('SERVICE ENTRY'!$AG$4:$AG$1200,{"Yes Stage 0","Yes Stage I","Yes Stage II","Yes Stage III","Yes Stage IV","Yes Stage Unknown"},'SERVICE ENTRY'!$C$4:$C$1200,'County Report'!A164))+SUM(COUNTIFS('SERVICE ENTRY'!$AL$4:$AL$1200,{"Yes Stage 0","Yes Stage I","Yes Stage II","Yes Stage III","Yes Stage IV","Yes Stage Unknown"},'SERVICE ENTRY'!$C$4:$C$1200,'County Report'!A164))</f>
        <v>0</v>
      </c>
      <c r="C164" s="124">
        <f>COUNTIFS('SERVICE ENTRY'!$C$4:$C$1200,'County Report'!A164,'SERVICE ENTRY'!$AG$4:$AG$1200,"Yes Stage 0")+COUNTIFS('SERVICE ENTRY'!$C$4:$C$1200,'County Report'!A164,'SERVICE ENTRY'!$AL$4:$AL$1200,"Yes Stage 0")</f>
        <v>0</v>
      </c>
      <c r="D164" s="91">
        <f>COUNTIFS('SERVICE ENTRY'!$C$4:$C$1200,'County Report'!A164,'SERVICE ENTRY'!$AG$4:$AG$1200,"Yes Stage I")+COUNTIFS('SERVICE ENTRY'!$C$4:$C$1200,'County Report'!A164,'SERVICE ENTRY'!$AL$4:$AL$1200,"Yes Stage I")</f>
        <v>0</v>
      </c>
      <c r="E164" s="91">
        <f>COUNTIFS('SERVICE ENTRY'!$C$4:$C$1200,'County Report'!A164,'SERVICE ENTRY'!$AG$4:$AG$1200,"Yes Stage III")+COUNTIFS('SERVICE ENTRY'!$C$4:$C$1200,'County Report'!A164,'SERVICE ENTRY'!$AL$4:$AL$1200,"Yes Stage III")</f>
        <v>0</v>
      </c>
      <c r="F164" s="91">
        <f>COUNTIFS('SERVICE ENTRY'!$C$4:$C$1200,'County Report'!A164,'SERVICE ENTRY'!$AG$4:$AG$1200,"Yes Stage III")+COUNTIFS('SERVICE ENTRY'!$C$4:$C$1200,'County Report'!A164,'SERVICE ENTRY'!$AL$4:$AL$1200,"Yes Stage III")</f>
        <v>0</v>
      </c>
      <c r="G164" s="91">
        <f>COUNTIFS('SERVICE ENTRY'!$C$4:$C$1200,'County Report'!A164,'SERVICE ENTRY'!$AG$4:$AG$1200,"Yes Stage IV")+COUNTIFS('SERVICE ENTRY'!$C$4:$C$1200,'County Report'!A164,'SERVICE ENTRY'!$AL$4:$AL$1200,"Yes Stage IV")</f>
        <v>0</v>
      </c>
      <c r="H164" s="91">
        <f>COUNTIFS('SERVICE ENTRY'!$C$4:$C$1200,'County Report'!A164,'SERVICE ENTRY'!$AG$4:$AG$1200,"Yes Stage Unknown")+COUNTIFS('SERVICE ENTRY'!$C$4:$C$1200,'County Report'!A164,'SERVICE ENTRY'!$AL$4:$AL$1200,"Yes Stage Unknown")</f>
        <v>0</v>
      </c>
      <c r="I164" s="186"/>
      <c r="K164" s="242"/>
    </row>
    <row r="165" spans="1:11" x14ac:dyDescent="0.25">
      <c r="A165" s="167" t="s">
        <v>648</v>
      </c>
      <c r="B165" s="126">
        <f>SUM(COUNTIFS('SERVICE ENTRY'!$AG$4:$AG$1200,{"Yes Stage 0","Yes Stage I","Yes Stage II","Yes Stage III","Yes Stage IV","Yes Stage Unknown"},'SERVICE ENTRY'!$C$4:$C$1200,'County Report'!A165))+SUM(COUNTIFS('SERVICE ENTRY'!$AL$4:$AL$1200,{"Yes Stage 0","Yes Stage I","Yes Stage II","Yes Stage III","Yes Stage IV","Yes Stage Unknown"},'SERVICE ENTRY'!$C$4:$C$1200,'County Report'!A165))</f>
        <v>0</v>
      </c>
      <c r="C165" s="124">
        <f>COUNTIFS('SERVICE ENTRY'!$C$4:$C$1200,'County Report'!A165,'SERVICE ENTRY'!$AG$4:$AG$1200,"Yes Stage 0")+COUNTIFS('SERVICE ENTRY'!$C$4:$C$1200,'County Report'!A165,'SERVICE ENTRY'!$AL$4:$AL$1200,"Yes Stage 0")</f>
        <v>0</v>
      </c>
      <c r="D165" s="91">
        <f>COUNTIFS('SERVICE ENTRY'!$C$4:$C$1200,'County Report'!A165,'SERVICE ENTRY'!$AG$4:$AG$1200,"Yes Stage I")+COUNTIFS('SERVICE ENTRY'!$C$4:$C$1200,'County Report'!A165,'SERVICE ENTRY'!$AL$4:$AL$1200,"Yes Stage I")</f>
        <v>0</v>
      </c>
      <c r="E165" s="91">
        <f>COUNTIFS('SERVICE ENTRY'!$C$4:$C$1200,'County Report'!A165,'SERVICE ENTRY'!$AG$4:$AG$1200,"Yes Stage III")+COUNTIFS('SERVICE ENTRY'!$C$4:$C$1200,'County Report'!A165,'SERVICE ENTRY'!$AL$4:$AL$1200,"Yes Stage III")</f>
        <v>0</v>
      </c>
      <c r="F165" s="91">
        <f>COUNTIFS('SERVICE ENTRY'!$C$4:$C$1200,'County Report'!A165,'SERVICE ENTRY'!$AG$4:$AG$1200,"Yes Stage III")+COUNTIFS('SERVICE ENTRY'!$C$4:$C$1200,'County Report'!A165,'SERVICE ENTRY'!$AL$4:$AL$1200,"Yes Stage III")</f>
        <v>0</v>
      </c>
      <c r="G165" s="91">
        <f>COUNTIFS('SERVICE ENTRY'!$C$4:$C$1200,'County Report'!A165,'SERVICE ENTRY'!$AG$4:$AG$1200,"Yes Stage IV")+COUNTIFS('SERVICE ENTRY'!$C$4:$C$1200,'County Report'!A165,'SERVICE ENTRY'!$AL$4:$AL$1200,"Yes Stage IV")</f>
        <v>0</v>
      </c>
      <c r="H165" s="91">
        <f>COUNTIFS('SERVICE ENTRY'!$C$4:$C$1200,'County Report'!A165,'SERVICE ENTRY'!$AG$4:$AG$1200,"Yes Stage Unknown")+COUNTIFS('SERVICE ENTRY'!$C$4:$C$1200,'County Report'!A165,'SERVICE ENTRY'!$AL$4:$AL$1200,"Yes Stage Unknown")</f>
        <v>0</v>
      </c>
      <c r="I165" s="186"/>
      <c r="K165" s="242"/>
    </row>
    <row r="166" spans="1:11" x14ac:dyDescent="0.25">
      <c r="A166" s="167" t="s">
        <v>649</v>
      </c>
      <c r="B166" s="126">
        <f>SUM(COUNTIFS('SERVICE ENTRY'!$AG$4:$AG$1200,{"Yes Stage 0","Yes Stage I","Yes Stage II","Yes Stage III","Yes Stage IV","Yes Stage Unknown"},'SERVICE ENTRY'!$C$4:$C$1200,'County Report'!A166))+SUM(COUNTIFS('SERVICE ENTRY'!$AL$4:$AL$1200,{"Yes Stage 0","Yes Stage I","Yes Stage II","Yes Stage III","Yes Stage IV","Yes Stage Unknown"},'SERVICE ENTRY'!$C$4:$C$1200,'County Report'!A166))</f>
        <v>0</v>
      </c>
      <c r="C166" s="124">
        <f>COUNTIFS('SERVICE ENTRY'!$C$4:$C$1200,'County Report'!A166,'SERVICE ENTRY'!$AG$4:$AG$1200,"Yes Stage 0")+COUNTIFS('SERVICE ENTRY'!$C$4:$C$1200,'County Report'!A166,'SERVICE ENTRY'!$AL$4:$AL$1200,"Yes Stage 0")</f>
        <v>0</v>
      </c>
      <c r="D166" s="91">
        <f>COUNTIFS('SERVICE ENTRY'!$C$4:$C$1200,'County Report'!A166,'SERVICE ENTRY'!$AG$4:$AG$1200,"Yes Stage I")+COUNTIFS('SERVICE ENTRY'!$C$4:$C$1200,'County Report'!A166,'SERVICE ENTRY'!$AL$4:$AL$1200,"Yes Stage I")</f>
        <v>0</v>
      </c>
      <c r="E166" s="91">
        <f>COUNTIFS('SERVICE ENTRY'!$C$4:$C$1200,'County Report'!A166,'SERVICE ENTRY'!$AG$4:$AG$1200,"Yes Stage III")+COUNTIFS('SERVICE ENTRY'!$C$4:$C$1200,'County Report'!A166,'SERVICE ENTRY'!$AL$4:$AL$1200,"Yes Stage III")</f>
        <v>0</v>
      </c>
      <c r="F166" s="91">
        <f>COUNTIFS('SERVICE ENTRY'!$C$4:$C$1200,'County Report'!A166,'SERVICE ENTRY'!$AG$4:$AG$1200,"Yes Stage III")+COUNTIFS('SERVICE ENTRY'!$C$4:$C$1200,'County Report'!A166,'SERVICE ENTRY'!$AL$4:$AL$1200,"Yes Stage III")</f>
        <v>0</v>
      </c>
      <c r="G166" s="91">
        <f>COUNTIFS('SERVICE ENTRY'!$C$4:$C$1200,'County Report'!A166,'SERVICE ENTRY'!$AG$4:$AG$1200,"Yes Stage IV")+COUNTIFS('SERVICE ENTRY'!$C$4:$C$1200,'County Report'!A166,'SERVICE ENTRY'!$AL$4:$AL$1200,"Yes Stage IV")</f>
        <v>0</v>
      </c>
      <c r="H166" s="91">
        <f>COUNTIFS('SERVICE ENTRY'!$C$4:$C$1200,'County Report'!A166,'SERVICE ENTRY'!$AG$4:$AG$1200,"Yes Stage Unknown")+COUNTIFS('SERVICE ENTRY'!$C$4:$C$1200,'County Report'!A166,'SERVICE ENTRY'!$AL$4:$AL$1200,"Yes Stage Unknown")</f>
        <v>0</v>
      </c>
      <c r="I166" s="186"/>
      <c r="K166" s="242"/>
    </row>
    <row r="167" spans="1:11" x14ac:dyDescent="0.25">
      <c r="A167" s="167" t="s">
        <v>650</v>
      </c>
      <c r="B167" s="126">
        <f>SUM(COUNTIFS('SERVICE ENTRY'!$AG$4:$AG$1200,{"Yes Stage 0","Yes Stage I","Yes Stage II","Yes Stage III","Yes Stage IV","Yes Stage Unknown"},'SERVICE ENTRY'!$C$4:$C$1200,'County Report'!A167))+SUM(COUNTIFS('SERVICE ENTRY'!$AL$4:$AL$1200,{"Yes Stage 0","Yes Stage I","Yes Stage II","Yes Stage III","Yes Stage IV","Yes Stage Unknown"},'SERVICE ENTRY'!$C$4:$C$1200,'County Report'!A167))</f>
        <v>0</v>
      </c>
      <c r="C167" s="124">
        <f>COUNTIFS('SERVICE ENTRY'!$C$4:$C$1200,'County Report'!A167,'SERVICE ENTRY'!$AG$4:$AG$1200,"Yes Stage 0")+COUNTIFS('SERVICE ENTRY'!$C$4:$C$1200,'County Report'!A167,'SERVICE ENTRY'!$AL$4:$AL$1200,"Yes Stage 0")</f>
        <v>0</v>
      </c>
      <c r="D167" s="91">
        <f>COUNTIFS('SERVICE ENTRY'!$C$4:$C$1200,'County Report'!A167,'SERVICE ENTRY'!$AG$4:$AG$1200,"Yes Stage I")+COUNTIFS('SERVICE ENTRY'!$C$4:$C$1200,'County Report'!A167,'SERVICE ENTRY'!$AL$4:$AL$1200,"Yes Stage I")</f>
        <v>0</v>
      </c>
      <c r="E167" s="91">
        <f>COUNTIFS('SERVICE ENTRY'!$C$4:$C$1200,'County Report'!A167,'SERVICE ENTRY'!$AG$4:$AG$1200,"Yes Stage III")+COUNTIFS('SERVICE ENTRY'!$C$4:$C$1200,'County Report'!A167,'SERVICE ENTRY'!$AL$4:$AL$1200,"Yes Stage III")</f>
        <v>0</v>
      </c>
      <c r="F167" s="91">
        <f>COUNTIFS('SERVICE ENTRY'!$C$4:$C$1200,'County Report'!A167,'SERVICE ENTRY'!$AG$4:$AG$1200,"Yes Stage III")+COUNTIFS('SERVICE ENTRY'!$C$4:$C$1200,'County Report'!A167,'SERVICE ENTRY'!$AL$4:$AL$1200,"Yes Stage III")</f>
        <v>0</v>
      </c>
      <c r="G167" s="91">
        <f>COUNTIFS('SERVICE ENTRY'!$C$4:$C$1200,'County Report'!A167,'SERVICE ENTRY'!$AG$4:$AG$1200,"Yes Stage IV")+COUNTIFS('SERVICE ENTRY'!$C$4:$C$1200,'County Report'!A167,'SERVICE ENTRY'!$AL$4:$AL$1200,"Yes Stage IV")</f>
        <v>0</v>
      </c>
      <c r="H167" s="91">
        <f>COUNTIFS('SERVICE ENTRY'!$C$4:$C$1200,'County Report'!A167,'SERVICE ENTRY'!$AG$4:$AG$1200,"Yes Stage Unknown")+COUNTIFS('SERVICE ENTRY'!$C$4:$C$1200,'County Report'!A167,'SERVICE ENTRY'!$AL$4:$AL$1200,"Yes Stage Unknown")</f>
        <v>0</v>
      </c>
      <c r="I167" s="186"/>
      <c r="K167" s="242"/>
    </row>
    <row r="168" spans="1:11" x14ac:dyDescent="0.25">
      <c r="A168" s="167" t="s">
        <v>651</v>
      </c>
      <c r="B168" s="126">
        <f>SUM(COUNTIFS('SERVICE ENTRY'!$AG$4:$AG$1200,{"Yes Stage 0","Yes Stage I","Yes Stage II","Yes Stage III","Yes Stage IV","Yes Stage Unknown"},'SERVICE ENTRY'!$C$4:$C$1200,'County Report'!A168))+SUM(COUNTIFS('SERVICE ENTRY'!$AL$4:$AL$1200,{"Yes Stage 0","Yes Stage I","Yes Stage II","Yes Stage III","Yes Stage IV","Yes Stage Unknown"},'SERVICE ENTRY'!$C$4:$C$1200,'County Report'!A168))</f>
        <v>0</v>
      </c>
      <c r="C168" s="124">
        <f>COUNTIFS('SERVICE ENTRY'!$C$4:$C$1200,'County Report'!A168,'SERVICE ENTRY'!$AG$4:$AG$1200,"Yes Stage 0")+COUNTIFS('SERVICE ENTRY'!$C$4:$C$1200,'County Report'!A168,'SERVICE ENTRY'!$AL$4:$AL$1200,"Yes Stage 0")</f>
        <v>0</v>
      </c>
      <c r="D168" s="91">
        <f>COUNTIFS('SERVICE ENTRY'!$C$4:$C$1200,'County Report'!A168,'SERVICE ENTRY'!$AG$4:$AG$1200,"Yes Stage I")+COUNTIFS('SERVICE ENTRY'!$C$4:$C$1200,'County Report'!A168,'SERVICE ENTRY'!$AL$4:$AL$1200,"Yes Stage I")</f>
        <v>0</v>
      </c>
      <c r="E168" s="91">
        <f>COUNTIFS('SERVICE ENTRY'!$C$4:$C$1200,'County Report'!A168,'SERVICE ENTRY'!$AG$4:$AG$1200,"Yes Stage III")+COUNTIFS('SERVICE ENTRY'!$C$4:$C$1200,'County Report'!A168,'SERVICE ENTRY'!$AL$4:$AL$1200,"Yes Stage III")</f>
        <v>0</v>
      </c>
      <c r="F168" s="91">
        <f>COUNTIFS('SERVICE ENTRY'!$C$4:$C$1200,'County Report'!A168,'SERVICE ENTRY'!$AG$4:$AG$1200,"Yes Stage III")+COUNTIFS('SERVICE ENTRY'!$C$4:$C$1200,'County Report'!A168,'SERVICE ENTRY'!$AL$4:$AL$1200,"Yes Stage III")</f>
        <v>0</v>
      </c>
      <c r="G168" s="91">
        <f>COUNTIFS('SERVICE ENTRY'!$C$4:$C$1200,'County Report'!A168,'SERVICE ENTRY'!$AG$4:$AG$1200,"Yes Stage IV")+COUNTIFS('SERVICE ENTRY'!$C$4:$C$1200,'County Report'!A168,'SERVICE ENTRY'!$AL$4:$AL$1200,"Yes Stage IV")</f>
        <v>0</v>
      </c>
      <c r="H168" s="91">
        <f>COUNTIFS('SERVICE ENTRY'!$C$4:$C$1200,'County Report'!A168,'SERVICE ENTRY'!$AG$4:$AG$1200,"Yes Stage Unknown")+COUNTIFS('SERVICE ENTRY'!$C$4:$C$1200,'County Report'!A168,'SERVICE ENTRY'!$AL$4:$AL$1200,"Yes Stage Unknown")</f>
        <v>0</v>
      </c>
      <c r="I168" s="186"/>
      <c r="K168" s="242"/>
    </row>
    <row r="169" spans="1:11" x14ac:dyDescent="0.25">
      <c r="A169" s="167" t="s">
        <v>652</v>
      </c>
      <c r="B169" s="126">
        <f>SUM(COUNTIFS('SERVICE ENTRY'!$AG$4:$AG$1200,{"Yes Stage 0","Yes Stage I","Yes Stage II","Yes Stage III","Yes Stage IV","Yes Stage Unknown"},'SERVICE ENTRY'!$C$4:$C$1200,'County Report'!A169))+SUM(COUNTIFS('SERVICE ENTRY'!$AL$4:$AL$1200,{"Yes Stage 0","Yes Stage I","Yes Stage II","Yes Stage III","Yes Stage IV","Yes Stage Unknown"},'SERVICE ENTRY'!$C$4:$C$1200,'County Report'!A169))</f>
        <v>0</v>
      </c>
      <c r="C169" s="124">
        <f>COUNTIFS('SERVICE ENTRY'!$C$4:$C$1200,'County Report'!A169,'SERVICE ENTRY'!$AG$4:$AG$1200,"Yes Stage 0")+COUNTIFS('SERVICE ENTRY'!$C$4:$C$1200,'County Report'!A169,'SERVICE ENTRY'!$AL$4:$AL$1200,"Yes Stage 0")</f>
        <v>0</v>
      </c>
      <c r="D169" s="91">
        <f>COUNTIFS('SERVICE ENTRY'!$C$4:$C$1200,'County Report'!A169,'SERVICE ENTRY'!$AG$4:$AG$1200,"Yes Stage I")+COUNTIFS('SERVICE ENTRY'!$C$4:$C$1200,'County Report'!A169,'SERVICE ENTRY'!$AL$4:$AL$1200,"Yes Stage I")</f>
        <v>0</v>
      </c>
      <c r="E169" s="91">
        <f>COUNTIFS('SERVICE ENTRY'!$C$4:$C$1200,'County Report'!A169,'SERVICE ENTRY'!$AG$4:$AG$1200,"Yes Stage III")+COUNTIFS('SERVICE ENTRY'!$C$4:$C$1200,'County Report'!A169,'SERVICE ENTRY'!$AL$4:$AL$1200,"Yes Stage III")</f>
        <v>0</v>
      </c>
      <c r="F169" s="91">
        <f>COUNTIFS('SERVICE ENTRY'!$C$4:$C$1200,'County Report'!A169,'SERVICE ENTRY'!$AG$4:$AG$1200,"Yes Stage III")+COUNTIFS('SERVICE ENTRY'!$C$4:$C$1200,'County Report'!A169,'SERVICE ENTRY'!$AL$4:$AL$1200,"Yes Stage III")</f>
        <v>0</v>
      </c>
      <c r="G169" s="91">
        <f>COUNTIFS('SERVICE ENTRY'!$C$4:$C$1200,'County Report'!A169,'SERVICE ENTRY'!$AG$4:$AG$1200,"Yes Stage IV")+COUNTIFS('SERVICE ENTRY'!$C$4:$C$1200,'County Report'!A169,'SERVICE ENTRY'!$AL$4:$AL$1200,"Yes Stage IV")</f>
        <v>0</v>
      </c>
      <c r="H169" s="91">
        <f>COUNTIFS('SERVICE ENTRY'!$C$4:$C$1200,'County Report'!A169,'SERVICE ENTRY'!$AG$4:$AG$1200,"Yes Stage Unknown")+COUNTIFS('SERVICE ENTRY'!$C$4:$C$1200,'County Report'!A169,'SERVICE ENTRY'!$AL$4:$AL$1200,"Yes Stage Unknown")</f>
        <v>0</v>
      </c>
      <c r="I169" s="186"/>
      <c r="K169" s="242"/>
    </row>
    <row r="170" spans="1:11" x14ac:dyDescent="0.25">
      <c r="A170" s="167" t="s">
        <v>653</v>
      </c>
      <c r="B170" s="126">
        <f>SUM(COUNTIFS('SERVICE ENTRY'!$AG$4:$AG$1200,{"Yes Stage 0","Yes Stage I","Yes Stage II","Yes Stage III","Yes Stage IV","Yes Stage Unknown"},'SERVICE ENTRY'!$C$4:$C$1200,'County Report'!A170))+SUM(COUNTIFS('SERVICE ENTRY'!$AL$4:$AL$1200,{"Yes Stage 0","Yes Stage I","Yes Stage II","Yes Stage III","Yes Stage IV","Yes Stage Unknown"},'SERVICE ENTRY'!$C$4:$C$1200,'County Report'!A170))</f>
        <v>0</v>
      </c>
      <c r="C170" s="124">
        <f>COUNTIFS('SERVICE ENTRY'!$C$4:$C$1200,'County Report'!A170,'SERVICE ENTRY'!$AG$4:$AG$1200,"Yes Stage 0")+COUNTIFS('SERVICE ENTRY'!$C$4:$C$1200,'County Report'!A170,'SERVICE ENTRY'!$AL$4:$AL$1200,"Yes Stage 0")</f>
        <v>0</v>
      </c>
      <c r="D170" s="91">
        <f>COUNTIFS('SERVICE ENTRY'!$C$4:$C$1200,'County Report'!A170,'SERVICE ENTRY'!$AG$4:$AG$1200,"Yes Stage I")+COUNTIFS('SERVICE ENTRY'!$C$4:$C$1200,'County Report'!A170,'SERVICE ENTRY'!$AL$4:$AL$1200,"Yes Stage I")</f>
        <v>0</v>
      </c>
      <c r="E170" s="91">
        <f>COUNTIFS('SERVICE ENTRY'!$C$4:$C$1200,'County Report'!A170,'SERVICE ENTRY'!$AG$4:$AG$1200,"Yes Stage III")+COUNTIFS('SERVICE ENTRY'!$C$4:$C$1200,'County Report'!A170,'SERVICE ENTRY'!$AL$4:$AL$1200,"Yes Stage III")</f>
        <v>0</v>
      </c>
      <c r="F170" s="91">
        <f>COUNTIFS('SERVICE ENTRY'!$C$4:$C$1200,'County Report'!A170,'SERVICE ENTRY'!$AG$4:$AG$1200,"Yes Stage III")+COUNTIFS('SERVICE ENTRY'!$C$4:$C$1200,'County Report'!A170,'SERVICE ENTRY'!$AL$4:$AL$1200,"Yes Stage III")</f>
        <v>0</v>
      </c>
      <c r="G170" s="91">
        <f>COUNTIFS('SERVICE ENTRY'!$C$4:$C$1200,'County Report'!A170,'SERVICE ENTRY'!$AG$4:$AG$1200,"Yes Stage IV")+COUNTIFS('SERVICE ENTRY'!$C$4:$C$1200,'County Report'!A170,'SERVICE ENTRY'!$AL$4:$AL$1200,"Yes Stage IV")</f>
        <v>0</v>
      </c>
      <c r="H170" s="91">
        <f>COUNTIFS('SERVICE ENTRY'!$C$4:$C$1200,'County Report'!A170,'SERVICE ENTRY'!$AG$4:$AG$1200,"Yes Stage Unknown")+COUNTIFS('SERVICE ENTRY'!$C$4:$C$1200,'County Report'!A170,'SERVICE ENTRY'!$AL$4:$AL$1200,"Yes Stage Unknown")</f>
        <v>0</v>
      </c>
      <c r="I170" s="186"/>
      <c r="K170" s="242"/>
    </row>
    <row r="171" spans="1:11" x14ac:dyDescent="0.25">
      <c r="A171" s="167" t="s">
        <v>654</v>
      </c>
      <c r="B171" s="126">
        <f>SUM(COUNTIFS('SERVICE ENTRY'!$AG$4:$AG$1200,{"Yes Stage 0","Yes Stage I","Yes Stage II","Yes Stage III","Yes Stage IV","Yes Stage Unknown"},'SERVICE ENTRY'!$C$4:$C$1200,'County Report'!A171))+SUM(COUNTIFS('SERVICE ENTRY'!$AL$4:$AL$1200,{"Yes Stage 0","Yes Stage I","Yes Stage II","Yes Stage III","Yes Stage IV","Yes Stage Unknown"},'SERVICE ENTRY'!$C$4:$C$1200,'County Report'!A171))</f>
        <v>0</v>
      </c>
      <c r="C171" s="124">
        <f>COUNTIFS('SERVICE ENTRY'!$C$4:$C$1200,'County Report'!A171,'SERVICE ENTRY'!$AG$4:$AG$1200,"Yes Stage 0")+COUNTIFS('SERVICE ENTRY'!$C$4:$C$1200,'County Report'!A171,'SERVICE ENTRY'!$AL$4:$AL$1200,"Yes Stage 0")</f>
        <v>0</v>
      </c>
      <c r="D171" s="91">
        <f>COUNTIFS('SERVICE ENTRY'!$C$4:$C$1200,'County Report'!A171,'SERVICE ENTRY'!$AG$4:$AG$1200,"Yes Stage I")+COUNTIFS('SERVICE ENTRY'!$C$4:$C$1200,'County Report'!A171,'SERVICE ENTRY'!$AL$4:$AL$1200,"Yes Stage I")</f>
        <v>0</v>
      </c>
      <c r="E171" s="91">
        <f>COUNTIFS('SERVICE ENTRY'!$C$4:$C$1200,'County Report'!A171,'SERVICE ENTRY'!$AG$4:$AG$1200,"Yes Stage III")+COUNTIFS('SERVICE ENTRY'!$C$4:$C$1200,'County Report'!A171,'SERVICE ENTRY'!$AL$4:$AL$1200,"Yes Stage III")</f>
        <v>0</v>
      </c>
      <c r="F171" s="91">
        <f>COUNTIFS('SERVICE ENTRY'!$C$4:$C$1200,'County Report'!A171,'SERVICE ENTRY'!$AG$4:$AG$1200,"Yes Stage III")+COUNTIFS('SERVICE ENTRY'!$C$4:$C$1200,'County Report'!A171,'SERVICE ENTRY'!$AL$4:$AL$1200,"Yes Stage III")</f>
        <v>0</v>
      </c>
      <c r="G171" s="91">
        <f>COUNTIFS('SERVICE ENTRY'!$C$4:$C$1200,'County Report'!A171,'SERVICE ENTRY'!$AG$4:$AG$1200,"Yes Stage IV")+COUNTIFS('SERVICE ENTRY'!$C$4:$C$1200,'County Report'!A171,'SERVICE ENTRY'!$AL$4:$AL$1200,"Yes Stage IV")</f>
        <v>0</v>
      </c>
      <c r="H171" s="91">
        <f>COUNTIFS('SERVICE ENTRY'!$C$4:$C$1200,'County Report'!A171,'SERVICE ENTRY'!$AG$4:$AG$1200,"Yes Stage Unknown")+COUNTIFS('SERVICE ENTRY'!$C$4:$C$1200,'County Report'!A171,'SERVICE ENTRY'!$AL$4:$AL$1200,"Yes Stage Unknown")</f>
        <v>0</v>
      </c>
      <c r="I171" s="186"/>
      <c r="K171" s="242"/>
    </row>
    <row r="172" spans="1:11" x14ac:dyDescent="0.25">
      <c r="A172" s="167" t="s">
        <v>655</v>
      </c>
      <c r="B172" s="126">
        <f>SUM(COUNTIFS('SERVICE ENTRY'!$AG$4:$AG$1200,{"Yes Stage 0","Yes Stage I","Yes Stage II","Yes Stage III","Yes Stage IV","Yes Stage Unknown"},'SERVICE ENTRY'!$C$4:$C$1200,'County Report'!A172))+SUM(COUNTIFS('SERVICE ENTRY'!$AL$4:$AL$1200,{"Yes Stage 0","Yes Stage I","Yes Stage II","Yes Stage III","Yes Stage IV","Yes Stage Unknown"},'SERVICE ENTRY'!$C$4:$C$1200,'County Report'!A172))</f>
        <v>0</v>
      </c>
      <c r="C172" s="124">
        <f>COUNTIFS('SERVICE ENTRY'!$C$4:$C$1200,'County Report'!A172,'SERVICE ENTRY'!$AG$4:$AG$1200,"Yes Stage 0")+COUNTIFS('SERVICE ENTRY'!$C$4:$C$1200,'County Report'!A172,'SERVICE ENTRY'!$AL$4:$AL$1200,"Yes Stage 0")</f>
        <v>0</v>
      </c>
      <c r="D172" s="91">
        <f>COUNTIFS('SERVICE ENTRY'!$C$4:$C$1200,'County Report'!A172,'SERVICE ENTRY'!$AG$4:$AG$1200,"Yes Stage I")+COUNTIFS('SERVICE ENTRY'!$C$4:$C$1200,'County Report'!A172,'SERVICE ENTRY'!$AL$4:$AL$1200,"Yes Stage I")</f>
        <v>0</v>
      </c>
      <c r="E172" s="91">
        <f>COUNTIFS('SERVICE ENTRY'!$C$4:$C$1200,'County Report'!A172,'SERVICE ENTRY'!$AG$4:$AG$1200,"Yes Stage III")+COUNTIFS('SERVICE ENTRY'!$C$4:$C$1200,'County Report'!A172,'SERVICE ENTRY'!$AL$4:$AL$1200,"Yes Stage III")</f>
        <v>0</v>
      </c>
      <c r="F172" s="91">
        <f>COUNTIFS('SERVICE ENTRY'!$C$4:$C$1200,'County Report'!A172,'SERVICE ENTRY'!$AG$4:$AG$1200,"Yes Stage III")+COUNTIFS('SERVICE ENTRY'!$C$4:$C$1200,'County Report'!A172,'SERVICE ENTRY'!$AL$4:$AL$1200,"Yes Stage III")</f>
        <v>0</v>
      </c>
      <c r="G172" s="91">
        <f>COUNTIFS('SERVICE ENTRY'!$C$4:$C$1200,'County Report'!A172,'SERVICE ENTRY'!$AG$4:$AG$1200,"Yes Stage IV")+COUNTIFS('SERVICE ENTRY'!$C$4:$C$1200,'County Report'!A172,'SERVICE ENTRY'!$AL$4:$AL$1200,"Yes Stage IV")</f>
        <v>0</v>
      </c>
      <c r="H172" s="91">
        <f>COUNTIFS('SERVICE ENTRY'!$C$4:$C$1200,'County Report'!A172,'SERVICE ENTRY'!$AG$4:$AG$1200,"Yes Stage Unknown")+COUNTIFS('SERVICE ENTRY'!$C$4:$C$1200,'County Report'!A172,'SERVICE ENTRY'!$AL$4:$AL$1200,"Yes Stage Unknown")</f>
        <v>0</v>
      </c>
      <c r="I172" s="186"/>
      <c r="K172" s="242"/>
    </row>
    <row r="173" spans="1:11" x14ac:dyDescent="0.25">
      <c r="A173" s="167" t="s">
        <v>656</v>
      </c>
      <c r="B173" s="126">
        <f>SUM(COUNTIFS('SERVICE ENTRY'!$AG$4:$AG$1200,{"Yes Stage 0","Yes Stage I","Yes Stage II","Yes Stage III","Yes Stage IV","Yes Stage Unknown"},'SERVICE ENTRY'!$C$4:$C$1200,'County Report'!A173))+SUM(COUNTIFS('SERVICE ENTRY'!$AL$4:$AL$1200,{"Yes Stage 0","Yes Stage I","Yes Stage II","Yes Stage III","Yes Stage IV","Yes Stage Unknown"},'SERVICE ENTRY'!$C$4:$C$1200,'County Report'!A173))</f>
        <v>0</v>
      </c>
      <c r="C173" s="124">
        <f>COUNTIFS('SERVICE ENTRY'!$C$4:$C$1200,'County Report'!A173,'SERVICE ENTRY'!$AG$4:$AG$1200,"Yes Stage 0")+COUNTIFS('SERVICE ENTRY'!$C$4:$C$1200,'County Report'!A173,'SERVICE ENTRY'!$AL$4:$AL$1200,"Yes Stage 0")</f>
        <v>0</v>
      </c>
      <c r="D173" s="91">
        <f>COUNTIFS('SERVICE ENTRY'!$C$4:$C$1200,'County Report'!A173,'SERVICE ENTRY'!$AG$4:$AG$1200,"Yes Stage I")+COUNTIFS('SERVICE ENTRY'!$C$4:$C$1200,'County Report'!A173,'SERVICE ENTRY'!$AL$4:$AL$1200,"Yes Stage I")</f>
        <v>0</v>
      </c>
      <c r="E173" s="91">
        <f>COUNTIFS('SERVICE ENTRY'!$C$4:$C$1200,'County Report'!A173,'SERVICE ENTRY'!$AG$4:$AG$1200,"Yes Stage III")+COUNTIFS('SERVICE ENTRY'!$C$4:$C$1200,'County Report'!A173,'SERVICE ENTRY'!$AL$4:$AL$1200,"Yes Stage III")</f>
        <v>0</v>
      </c>
      <c r="F173" s="91">
        <f>COUNTIFS('SERVICE ENTRY'!$C$4:$C$1200,'County Report'!A173,'SERVICE ENTRY'!$AG$4:$AG$1200,"Yes Stage III")+COUNTIFS('SERVICE ENTRY'!$C$4:$C$1200,'County Report'!A173,'SERVICE ENTRY'!$AL$4:$AL$1200,"Yes Stage III")</f>
        <v>0</v>
      </c>
      <c r="G173" s="91">
        <f>COUNTIFS('SERVICE ENTRY'!$C$4:$C$1200,'County Report'!A173,'SERVICE ENTRY'!$AG$4:$AG$1200,"Yes Stage IV")+COUNTIFS('SERVICE ENTRY'!$C$4:$C$1200,'County Report'!A173,'SERVICE ENTRY'!$AL$4:$AL$1200,"Yes Stage IV")</f>
        <v>0</v>
      </c>
      <c r="H173" s="91">
        <f>COUNTIFS('SERVICE ENTRY'!$C$4:$C$1200,'County Report'!A173,'SERVICE ENTRY'!$AG$4:$AG$1200,"Yes Stage Unknown")+COUNTIFS('SERVICE ENTRY'!$C$4:$C$1200,'County Report'!A173,'SERVICE ENTRY'!$AL$4:$AL$1200,"Yes Stage Unknown")</f>
        <v>0</v>
      </c>
      <c r="I173" s="186"/>
      <c r="K173" s="242"/>
    </row>
    <row r="174" spans="1:11" x14ac:dyDescent="0.25">
      <c r="A174" s="167" t="s">
        <v>657</v>
      </c>
      <c r="B174" s="126">
        <f>SUM(COUNTIFS('SERVICE ENTRY'!$AG$4:$AG$1200,{"Yes Stage 0","Yes Stage I","Yes Stage II","Yes Stage III","Yes Stage IV","Yes Stage Unknown"},'SERVICE ENTRY'!$C$4:$C$1200,'County Report'!A174))+SUM(COUNTIFS('SERVICE ENTRY'!$AL$4:$AL$1200,{"Yes Stage 0","Yes Stage I","Yes Stage II","Yes Stage III","Yes Stage IV","Yes Stage Unknown"},'SERVICE ENTRY'!$C$4:$C$1200,'County Report'!A174))</f>
        <v>0</v>
      </c>
      <c r="C174" s="124">
        <f>COUNTIFS('SERVICE ENTRY'!$C$4:$C$1200,'County Report'!A174,'SERVICE ENTRY'!$AG$4:$AG$1200,"Yes Stage 0")+COUNTIFS('SERVICE ENTRY'!$C$4:$C$1200,'County Report'!A174,'SERVICE ENTRY'!$AL$4:$AL$1200,"Yes Stage 0")</f>
        <v>0</v>
      </c>
      <c r="D174" s="91">
        <f>COUNTIFS('SERVICE ENTRY'!$C$4:$C$1200,'County Report'!A174,'SERVICE ENTRY'!$AG$4:$AG$1200,"Yes Stage I")+COUNTIFS('SERVICE ENTRY'!$C$4:$C$1200,'County Report'!A174,'SERVICE ENTRY'!$AL$4:$AL$1200,"Yes Stage I")</f>
        <v>0</v>
      </c>
      <c r="E174" s="91">
        <f>COUNTIFS('SERVICE ENTRY'!$C$4:$C$1200,'County Report'!A174,'SERVICE ENTRY'!$AG$4:$AG$1200,"Yes Stage III")+COUNTIFS('SERVICE ENTRY'!$C$4:$C$1200,'County Report'!A174,'SERVICE ENTRY'!$AL$4:$AL$1200,"Yes Stage III")</f>
        <v>0</v>
      </c>
      <c r="F174" s="91">
        <f>COUNTIFS('SERVICE ENTRY'!$C$4:$C$1200,'County Report'!A174,'SERVICE ENTRY'!$AG$4:$AG$1200,"Yes Stage III")+COUNTIFS('SERVICE ENTRY'!$C$4:$C$1200,'County Report'!A174,'SERVICE ENTRY'!$AL$4:$AL$1200,"Yes Stage III")</f>
        <v>0</v>
      </c>
      <c r="G174" s="91">
        <f>COUNTIFS('SERVICE ENTRY'!$C$4:$C$1200,'County Report'!A174,'SERVICE ENTRY'!$AG$4:$AG$1200,"Yes Stage IV")+COUNTIFS('SERVICE ENTRY'!$C$4:$C$1200,'County Report'!A174,'SERVICE ENTRY'!$AL$4:$AL$1200,"Yes Stage IV")</f>
        <v>0</v>
      </c>
      <c r="H174" s="91">
        <f>COUNTIFS('SERVICE ENTRY'!$C$4:$C$1200,'County Report'!A174,'SERVICE ENTRY'!$AG$4:$AG$1200,"Yes Stage Unknown")+COUNTIFS('SERVICE ENTRY'!$C$4:$C$1200,'County Report'!A174,'SERVICE ENTRY'!$AL$4:$AL$1200,"Yes Stage Unknown")</f>
        <v>0</v>
      </c>
      <c r="I174" s="186"/>
      <c r="K174" s="242"/>
    </row>
    <row r="175" spans="1:11" x14ac:dyDescent="0.25">
      <c r="A175" s="167" t="s">
        <v>658</v>
      </c>
      <c r="B175" s="126">
        <f>SUM(COUNTIFS('SERVICE ENTRY'!$AG$4:$AG$1200,{"Yes Stage 0","Yes Stage I","Yes Stage II","Yes Stage III","Yes Stage IV","Yes Stage Unknown"},'SERVICE ENTRY'!$C$4:$C$1200,'County Report'!A175))+SUM(COUNTIFS('SERVICE ENTRY'!$AL$4:$AL$1200,{"Yes Stage 0","Yes Stage I","Yes Stage II","Yes Stage III","Yes Stage IV","Yes Stage Unknown"},'SERVICE ENTRY'!$C$4:$C$1200,'County Report'!A175))</f>
        <v>0</v>
      </c>
      <c r="C175" s="124">
        <f>COUNTIFS('SERVICE ENTRY'!$C$4:$C$1200,'County Report'!A175,'SERVICE ENTRY'!$AG$4:$AG$1200,"Yes Stage 0")+COUNTIFS('SERVICE ENTRY'!$C$4:$C$1200,'County Report'!A175,'SERVICE ENTRY'!$AL$4:$AL$1200,"Yes Stage 0")</f>
        <v>0</v>
      </c>
      <c r="D175" s="91">
        <f>COUNTIFS('SERVICE ENTRY'!$C$4:$C$1200,'County Report'!A175,'SERVICE ENTRY'!$AG$4:$AG$1200,"Yes Stage I")+COUNTIFS('SERVICE ENTRY'!$C$4:$C$1200,'County Report'!A175,'SERVICE ENTRY'!$AL$4:$AL$1200,"Yes Stage I")</f>
        <v>0</v>
      </c>
      <c r="E175" s="91">
        <f>COUNTIFS('SERVICE ENTRY'!$C$4:$C$1200,'County Report'!A175,'SERVICE ENTRY'!$AG$4:$AG$1200,"Yes Stage III")+COUNTIFS('SERVICE ENTRY'!$C$4:$C$1200,'County Report'!A175,'SERVICE ENTRY'!$AL$4:$AL$1200,"Yes Stage III")</f>
        <v>0</v>
      </c>
      <c r="F175" s="91">
        <f>COUNTIFS('SERVICE ENTRY'!$C$4:$C$1200,'County Report'!A175,'SERVICE ENTRY'!$AG$4:$AG$1200,"Yes Stage III")+COUNTIFS('SERVICE ENTRY'!$C$4:$C$1200,'County Report'!A175,'SERVICE ENTRY'!$AL$4:$AL$1200,"Yes Stage III")</f>
        <v>0</v>
      </c>
      <c r="G175" s="91">
        <f>COUNTIFS('SERVICE ENTRY'!$C$4:$C$1200,'County Report'!A175,'SERVICE ENTRY'!$AG$4:$AG$1200,"Yes Stage IV")+COUNTIFS('SERVICE ENTRY'!$C$4:$C$1200,'County Report'!A175,'SERVICE ENTRY'!$AL$4:$AL$1200,"Yes Stage IV")</f>
        <v>0</v>
      </c>
      <c r="H175" s="91">
        <f>COUNTIFS('SERVICE ENTRY'!$C$4:$C$1200,'County Report'!A175,'SERVICE ENTRY'!$AG$4:$AG$1200,"Yes Stage Unknown")+COUNTIFS('SERVICE ENTRY'!$C$4:$C$1200,'County Report'!A175,'SERVICE ENTRY'!$AL$4:$AL$1200,"Yes Stage Unknown")</f>
        <v>0</v>
      </c>
      <c r="I175" s="186"/>
      <c r="K175" s="242"/>
    </row>
    <row r="176" spans="1:11" x14ac:dyDescent="0.25">
      <c r="A176" s="167" t="s">
        <v>659</v>
      </c>
      <c r="B176" s="126">
        <f>SUM(COUNTIFS('SERVICE ENTRY'!$AG$4:$AG$1200,{"Yes Stage 0","Yes Stage I","Yes Stage II","Yes Stage III","Yes Stage IV","Yes Stage Unknown"},'SERVICE ENTRY'!$C$4:$C$1200,'County Report'!A176))+SUM(COUNTIFS('SERVICE ENTRY'!$AL$4:$AL$1200,{"Yes Stage 0","Yes Stage I","Yes Stage II","Yes Stage III","Yes Stage IV","Yes Stage Unknown"},'SERVICE ENTRY'!$C$4:$C$1200,'County Report'!A176))</f>
        <v>0</v>
      </c>
      <c r="C176" s="124">
        <f>COUNTIFS('SERVICE ENTRY'!$C$4:$C$1200,'County Report'!A176,'SERVICE ENTRY'!$AG$4:$AG$1200,"Yes Stage 0")+COUNTIFS('SERVICE ENTRY'!$C$4:$C$1200,'County Report'!A176,'SERVICE ENTRY'!$AL$4:$AL$1200,"Yes Stage 0")</f>
        <v>0</v>
      </c>
      <c r="D176" s="91">
        <f>COUNTIFS('SERVICE ENTRY'!$C$4:$C$1200,'County Report'!A176,'SERVICE ENTRY'!$AG$4:$AG$1200,"Yes Stage I")+COUNTIFS('SERVICE ENTRY'!$C$4:$C$1200,'County Report'!A176,'SERVICE ENTRY'!$AL$4:$AL$1200,"Yes Stage I")</f>
        <v>0</v>
      </c>
      <c r="E176" s="91">
        <f>COUNTIFS('SERVICE ENTRY'!$C$4:$C$1200,'County Report'!A176,'SERVICE ENTRY'!$AG$4:$AG$1200,"Yes Stage III")+COUNTIFS('SERVICE ENTRY'!$C$4:$C$1200,'County Report'!A176,'SERVICE ENTRY'!$AL$4:$AL$1200,"Yes Stage III")</f>
        <v>0</v>
      </c>
      <c r="F176" s="91">
        <f>COUNTIFS('SERVICE ENTRY'!$C$4:$C$1200,'County Report'!A176,'SERVICE ENTRY'!$AG$4:$AG$1200,"Yes Stage III")+COUNTIFS('SERVICE ENTRY'!$C$4:$C$1200,'County Report'!A176,'SERVICE ENTRY'!$AL$4:$AL$1200,"Yes Stage III")</f>
        <v>0</v>
      </c>
      <c r="G176" s="91">
        <f>COUNTIFS('SERVICE ENTRY'!$C$4:$C$1200,'County Report'!A176,'SERVICE ENTRY'!$AG$4:$AG$1200,"Yes Stage IV")+COUNTIFS('SERVICE ENTRY'!$C$4:$C$1200,'County Report'!A176,'SERVICE ENTRY'!$AL$4:$AL$1200,"Yes Stage IV")</f>
        <v>0</v>
      </c>
      <c r="H176" s="91">
        <f>COUNTIFS('SERVICE ENTRY'!$C$4:$C$1200,'County Report'!A176,'SERVICE ENTRY'!$AG$4:$AG$1200,"Yes Stage Unknown")+COUNTIFS('SERVICE ENTRY'!$C$4:$C$1200,'County Report'!A176,'SERVICE ENTRY'!$AL$4:$AL$1200,"Yes Stage Unknown")</f>
        <v>0</v>
      </c>
      <c r="I176" s="186"/>
      <c r="K176" s="242"/>
    </row>
    <row r="177" spans="1:11" x14ac:dyDescent="0.25">
      <c r="A177" s="167" t="s">
        <v>660</v>
      </c>
      <c r="B177" s="126">
        <f>SUM(COUNTIFS('SERVICE ENTRY'!$AG$4:$AG$1200,{"Yes Stage 0","Yes Stage I","Yes Stage II","Yes Stage III","Yes Stage IV","Yes Stage Unknown"},'SERVICE ENTRY'!$C$4:$C$1200,'County Report'!A177))+SUM(COUNTIFS('SERVICE ENTRY'!$AL$4:$AL$1200,{"Yes Stage 0","Yes Stage I","Yes Stage II","Yes Stage III","Yes Stage IV","Yes Stage Unknown"},'SERVICE ENTRY'!$C$4:$C$1200,'County Report'!A177))</f>
        <v>0</v>
      </c>
      <c r="C177" s="124">
        <f>COUNTIFS('SERVICE ENTRY'!$C$4:$C$1200,'County Report'!A177,'SERVICE ENTRY'!$AG$4:$AG$1200,"Yes Stage 0")+COUNTIFS('SERVICE ENTRY'!$C$4:$C$1200,'County Report'!A177,'SERVICE ENTRY'!$AL$4:$AL$1200,"Yes Stage 0")</f>
        <v>0</v>
      </c>
      <c r="D177" s="91">
        <f>COUNTIFS('SERVICE ENTRY'!$C$4:$C$1200,'County Report'!A177,'SERVICE ENTRY'!$AG$4:$AG$1200,"Yes Stage I")+COUNTIFS('SERVICE ENTRY'!$C$4:$C$1200,'County Report'!A177,'SERVICE ENTRY'!$AL$4:$AL$1200,"Yes Stage I")</f>
        <v>0</v>
      </c>
      <c r="E177" s="91">
        <f>COUNTIFS('SERVICE ENTRY'!$C$4:$C$1200,'County Report'!A177,'SERVICE ENTRY'!$AG$4:$AG$1200,"Yes Stage III")+COUNTIFS('SERVICE ENTRY'!$C$4:$C$1200,'County Report'!A177,'SERVICE ENTRY'!$AL$4:$AL$1200,"Yes Stage III")</f>
        <v>0</v>
      </c>
      <c r="F177" s="91">
        <f>COUNTIFS('SERVICE ENTRY'!$C$4:$C$1200,'County Report'!A177,'SERVICE ENTRY'!$AG$4:$AG$1200,"Yes Stage III")+COUNTIFS('SERVICE ENTRY'!$C$4:$C$1200,'County Report'!A177,'SERVICE ENTRY'!$AL$4:$AL$1200,"Yes Stage III")</f>
        <v>0</v>
      </c>
      <c r="G177" s="91">
        <f>COUNTIFS('SERVICE ENTRY'!$C$4:$C$1200,'County Report'!A177,'SERVICE ENTRY'!$AG$4:$AG$1200,"Yes Stage IV")+COUNTIFS('SERVICE ENTRY'!$C$4:$C$1200,'County Report'!A177,'SERVICE ENTRY'!$AL$4:$AL$1200,"Yes Stage IV")</f>
        <v>0</v>
      </c>
      <c r="H177" s="91">
        <f>COUNTIFS('SERVICE ENTRY'!$C$4:$C$1200,'County Report'!A177,'SERVICE ENTRY'!$AG$4:$AG$1200,"Yes Stage Unknown")+COUNTIFS('SERVICE ENTRY'!$C$4:$C$1200,'County Report'!A177,'SERVICE ENTRY'!$AL$4:$AL$1200,"Yes Stage Unknown")</f>
        <v>0</v>
      </c>
      <c r="I177" s="186"/>
      <c r="K177" s="242"/>
    </row>
    <row r="178" spans="1:11" x14ac:dyDescent="0.25">
      <c r="A178" s="167" t="s">
        <v>661</v>
      </c>
      <c r="B178" s="126">
        <f>SUM(COUNTIFS('SERVICE ENTRY'!$AG$4:$AG$1200,{"Yes Stage 0","Yes Stage I","Yes Stage II","Yes Stage III","Yes Stage IV","Yes Stage Unknown"},'SERVICE ENTRY'!$C$4:$C$1200,'County Report'!A178))+SUM(COUNTIFS('SERVICE ENTRY'!$AL$4:$AL$1200,{"Yes Stage 0","Yes Stage I","Yes Stage II","Yes Stage III","Yes Stage IV","Yes Stage Unknown"},'SERVICE ENTRY'!$C$4:$C$1200,'County Report'!A178))</f>
        <v>0</v>
      </c>
      <c r="C178" s="124">
        <f>COUNTIFS('SERVICE ENTRY'!$C$4:$C$1200,'County Report'!A178,'SERVICE ENTRY'!$AG$4:$AG$1200,"Yes Stage 0")+COUNTIFS('SERVICE ENTRY'!$C$4:$C$1200,'County Report'!A178,'SERVICE ENTRY'!$AL$4:$AL$1200,"Yes Stage 0")</f>
        <v>0</v>
      </c>
      <c r="D178" s="91">
        <f>COUNTIFS('SERVICE ENTRY'!$C$4:$C$1200,'County Report'!A178,'SERVICE ENTRY'!$AG$4:$AG$1200,"Yes Stage I")+COUNTIFS('SERVICE ENTRY'!$C$4:$C$1200,'County Report'!A178,'SERVICE ENTRY'!$AL$4:$AL$1200,"Yes Stage I")</f>
        <v>0</v>
      </c>
      <c r="E178" s="91">
        <f>COUNTIFS('SERVICE ENTRY'!$C$4:$C$1200,'County Report'!A178,'SERVICE ENTRY'!$AG$4:$AG$1200,"Yes Stage III")+COUNTIFS('SERVICE ENTRY'!$C$4:$C$1200,'County Report'!A178,'SERVICE ENTRY'!$AL$4:$AL$1200,"Yes Stage III")</f>
        <v>0</v>
      </c>
      <c r="F178" s="91">
        <f>COUNTIFS('SERVICE ENTRY'!$C$4:$C$1200,'County Report'!A178,'SERVICE ENTRY'!$AG$4:$AG$1200,"Yes Stage III")+COUNTIFS('SERVICE ENTRY'!$C$4:$C$1200,'County Report'!A178,'SERVICE ENTRY'!$AL$4:$AL$1200,"Yes Stage III")</f>
        <v>0</v>
      </c>
      <c r="G178" s="91">
        <f>COUNTIFS('SERVICE ENTRY'!$C$4:$C$1200,'County Report'!A178,'SERVICE ENTRY'!$AG$4:$AG$1200,"Yes Stage IV")+COUNTIFS('SERVICE ENTRY'!$C$4:$C$1200,'County Report'!A178,'SERVICE ENTRY'!$AL$4:$AL$1200,"Yes Stage IV")</f>
        <v>0</v>
      </c>
      <c r="H178" s="91">
        <f>COUNTIFS('SERVICE ENTRY'!$C$4:$C$1200,'County Report'!A178,'SERVICE ENTRY'!$AG$4:$AG$1200,"Yes Stage Unknown")+COUNTIFS('SERVICE ENTRY'!$C$4:$C$1200,'County Report'!A178,'SERVICE ENTRY'!$AL$4:$AL$1200,"Yes Stage Unknown")</f>
        <v>0</v>
      </c>
      <c r="I178" s="186"/>
      <c r="K178" s="242"/>
    </row>
    <row r="179" spans="1:11" x14ac:dyDescent="0.25">
      <c r="A179" s="167" t="s">
        <v>662</v>
      </c>
      <c r="B179" s="126">
        <f>SUM(COUNTIFS('SERVICE ENTRY'!$AG$4:$AG$1200,{"Yes Stage 0","Yes Stage I","Yes Stage II","Yes Stage III","Yes Stage IV","Yes Stage Unknown"},'SERVICE ENTRY'!$C$4:$C$1200,'County Report'!A179))+SUM(COUNTIFS('SERVICE ENTRY'!$AL$4:$AL$1200,{"Yes Stage 0","Yes Stage I","Yes Stage II","Yes Stage III","Yes Stage IV","Yes Stage Unknown"},'SERVICE ENTRY'!$C$4:$C$1200,'County Report'!A179))</f>
        <v>0</v>
      </c>
      <c r="C179" s="124">
        <f>COUNTIFS('SERVICE ENTRY'!$C$4:$C$1200,'County Report'!A179,'SERVICE ENTRY'!$AG$4:$AG$1200,"Yes Stage 0")+COUNTIFS('SERVICE ENTRY'!$C$4:$C$1200,'County Report'!A179,'SERVICE ENTRY'!$AL$4:$AL$1200,"Yes Stage 0")</f>
        <v>0</v>
      </c>
      <c r="D179" s="91">
        <f>COUNTIFS('SERVICE ENTRY'!$C$4:$C$1200,'County Report'!A179,'SERVICE ENTRY'!$AG$4:$AG$1200,"Yes Stage I")+COUNTIFS('SERVICE ENTRY'!$C$4:$C$1200,'County Report'!A179,'SERVICE ENTRY'!$AL$4:$AL$1200,"Yes Stage I")</f>
        <v>0</v>
      </c>
      <c r="E179" s="91">
        <f>COUNTIFS('SERVICE ENTRY'!$C$4:$C$1200,'County Report'!A179,'SERVICE ENTRY'!$AG$4:$AG$1200,"Yes Stage III")+COUNTIFS('SERVICE ENTRY'!$C$4:$C$1200,'County Report'!A179,'SERVICE ENTRY'!$AL$4:$AL$1200,"Yes Stage III")</f>
        <v>0</v>
      </c>
      <c r="F179" s="91">
        <f>COUNTIFS('SERVICE ENTRY'!$C$4:$C$1200,'County Report'!A179,'SERVICE ENTRY'!$AG$4:$AG$1200,"Yes Stage III")+COUNTIFS('SERVICE ENTRY'!$C$4:$C$1200,'County Report'!A179,'SERVICE ENTRY'!$AL$4:$AL$1200,"Yes Stage III")</f>
        <v>0</v>
      </c>
      <c r="G179" s="91">
        <f>COUNTIFS('SERVICE ENTRY'!$C$4:$C$1200,'County Report'!A179,'SERVICE ENTRY'!$AG$4:$AG$1200,"Yes Stage IV")+COUNTIFS('SERVICE ENTRY'!$C$4:$C$1200,'County Report'!A179,'SERVICE ENTRY'!$AL$4:$AL$1200,"Yes Stage IV")</f>
        <v>0</v>
      </c>
      <c r="H179" s="91">
        <f>COUNTIFS('SERVICE ENTRY'!$C$4:$C$1200,'County Report'!A179,'SERVICE ENTRY'!$AG$4:$AG$1200,"Yes Stage Unknown")+COUNTIFS('SERVICE ENTRY'!$C$4:$C$1200,'County Report'!A179,'SERVICE ENTRY'!$AL$4:$AL$1200,"Yes Stage Unknown")</f>
        <v>0</v>
      </c>
      <c r="I179" s="186"/>
      <c r="K179" s="242"/>
    </row>
    <row r="180" spans="1:11" x14ac:dyDescent="0.25">
      <c r="A180" s="167" t="s">
        <v>663</v>
      </c>
      <c r="B180" s="126">
        <f>SUM(COUNTIFS('SERVICE ENTRY'!$AG$4:$AG$1200,{"Yes Stage 0","Yes Stage I","Yes Stage II","Yes Stage III","Yes Stage IV","Yes Stage Unknown"},'SERVICE ENTRY'!$C$4:$C$1200,'County Report'!A180))+SUM(COUNTIFS('SERVICE ENTRY'!$AL$4:$AL$1200,{"Yes Stage 0","Yes Stage I","Yes Stage II","Yes Stage III","Yes Stage IV","Yes Stage Unknown"},'SERVICE ENTRY'!$C$4:$C$1200,'County Report'!A180))</f>
        <v>0</v>
      </c>
      <c r="C180" s="124">
        <f>COUNTIFS('SERVICE ENTRY'!$C$4:$C$1200,'County Report'!A180,'SERVICE ENTRY'!$AG$4:$AG$1200,"Yes Stage 0")+COUNTIFS('SERVICE ENTRY'!$C$4:$C$1200,'County Report'!A180,'SERVICE ENTRY'!$AL$4:$AL$1200,"Yes Stage 0")</f>
        <v>0</v>
      </c>
      <c r="D180" s="91">
        <f>COUNTIFS('SERVICE ENTRY'!$C$4:$C$1200,'County Report'!A180,'SERVICE ENTRY'!$AG$4:$AG$1200,"Yes Stage I")+COUNTIFS('SERVICE ENTRY'!$C$4:$C$1200,'County Report'!A180,'SERVICE ENTRY'!$AL$4:$AL$1200,"Yes Stage I")</f>
        <v>0</v>
      </c>
      <c r="E180" s="91">
        <f>COUNTIFS('SERVICE ENTRY'!$C$4:$C$1200,'County Report'!A180,'SERVICE ENTRY'!$AG$4:$AG$1200,"Yes Stage III")+COUNTIFS('SERVICE ENTRY'!$C$4:$C$1200,'County Report'!A180,'SERVICE ENTRY'!$AL$4:$AL$1200,"Yes Stage III")</f>
        <v>0</v>
      </c>
      <c r="F180" s="91">
        <f>COUNTIFS('SERVICE ENTRY'!$C$4:$C$1200,'County Report'!A180,'SERVICE ENTRY'!$AG$4:$AG$1200,"Yes Stage III")+COUNTIFS('SERVICE ENTRY'!$C$4:$C$1200,'County Report'!A180,'SERVICE ENTRY'!$AL$4:$AL$1200,"Yes Stage III")</f>
        <v>0</v>
      </c>
      <c r="G180" s="91">
        <f>COUNTIFS('SERVICE ENTRY'!$C$4:$C$1200,'County Report'!A180,'SERVICE ENTRY'!$AG$4:$AG$1200,"Yes Stage IV")+COUNTIFS('SERVICE ENTRY'!$C$4:$C$1200,'County Report'!A180,'SERVICE ENTRY'!$AL$4:$AL$1200,"Yes Stage IV")</f>
        <v>0</v>
      </c>
      <c r="H180" s="91">
        <f>COUNTIFS('SERVICE ENTRY'!$C$4:$C$1200,'County Report'!A180,'SERVICE ENTRY'!$AG$4:$AG$1200,"Yes Stage Unknown")+COUNTIFS('SERVICE ENTRY'!$C$4:$C$1200,'County Report'!A180,'SERVICE ENTRY'!$AL$4:$AL$1200,"Yes Stage Unknown")</f>
        <v>0</v>
      </c>
      <c r="I180" s="186"/>
      <c r="K180" s="242"/>
    </row>
    <row r="181" spans="1:11" x14ac:dyDescent="0.25">
      <c r="A181" s="167" t="s">
        <v>664</v>
      </c>
      <c r="B181" s="126">
        <f>SUM(COUNTIFS('SERVICE ENTRY'!$AG$4:$AG$1200,{"Yes Stage 0","Yes Stage I","Yes Stage II","Yes Stage III","Yes Stage IV","Yes Stage Unknown"},'SERVICE ENTRY'!$C$4:$C$1200,'County Report'!A181))+SUM(COUNTIFS('SERVICE ENTRY'!$AL$4:$AL$1200,{"Yes Stage 0","Yes Stage I","Yes Stage II","Yes Stage III","Yes Stage IV","Yes Stage Unknown"},'SERVICE ENTRY'!$C$4:$C$1200,'County Report'!A181))</f>
        <v>0</v>
      </c>
      <c r="C181" s="124">
        <f>COUNTIFS('SERVICE ENTRY'!$C$4:$C$1200,'County Report'!A181,'SERVICE ENTRY'!$AG$4:$AG$1200,"Yes Stage 0")+COUNTIFS('SERVICE ENTRY'!$C$4:$C$1200,'County Report'!A181,'SERVICE ENTRY'!$AL$4:$AL$1200,"Yes Stage 0")</f>
        <v>0</v>
      </c>
      <c r="D181" s="91">
        <f>COUNTIFS('SERVICE ENTRY'!$C$4:$C$1200,'County Report'!A181,'SERVICE ENTRY'!$AG$4:$AG$1200,"Yes Stage I")+COUNTIFS('SERVICE ENTRY'!$C$4:$C$1200,'County Report'!A181,'SERVICE ENTRY'!$AL$4:$AL$1200,"Yes Stage I")</f>
        <v>0</v>
      </c>
      <c r="E181" s="91">
        <f>COUNTIFS('SERVICE ENTRY'!$C$4:$C$1200,'County Report'!A181,'SERVICE ENTRY'!$AG$4:$AG$1200,"Yes Stage III")+COUNTIFS('SERVICE ENTRY'!$C$4:$C$1200,'County Report'!A181,'SERVICE ENTRY'!$AL$4:$AL$1200,"Yes Stage III")</f>
        <v>0</v>
      </c>
      <c r="F181" s="91">
        <f>COUNTIFS('SERVICE ENTRY'!$C$4:$C$1200,'County Report'!A181,'SERVICE ENTRY'!$AG$4:$AG$1200,"Yes Stage III")+COUNTIFS('SERVICE ENTRY'!$C$4:$C$1200,'County Report'!A181,'SERVICE ENTRY'!$AL$4:$AL$1200,"Yes Stage III")</f>
        <v>0</v>
      </c>
      <c r="G181" s="91">
        <f>COUNTIFS('SERVICE ENTRY'!$C$4:$C$1200,'County Report'!A181,'SERVICE ENTRY'!$AG$4:$AG$1200,"Yes Stage IV")+COUNTIFS('SERVICE ENTRY'!$C$4:$C$1200,'County Report'!A181,'SERVICE ENTRY'!$AL$4:$AL$1200,"Yes Stage IV")</f>
        <v>0</v>
      </c>
      <c r="H181" s="91">
        <f>COUNTIFS('SERVICE ENTRY'!$C$4:$C$1200,'County Report'!A181,'SERVICE ENTRY'!$AG$4:$AG$1200,"Yes Stage Unknown")+COUNTIFS('SERVICE ENTRY'!$C$4:$C$1200,'County Report'!A181,'SERVICE ENTRY'!$AL$4:$AL$1200,"Yes Stage Unknown")</f>
        <v>0</v>
      </c>
      <c r="I181" s="186"/>
      <c r="K181" s="242"/>
    </row>
    <row r="182" spans="1:11" x14ac:dyDescent="0.25">
      <c r="A182" s="167" t="s">
        <v>665</v>
      </c>
      <c r="B182" s="126">
        <f>SUM(COUNTIFS('SERVICE ENTRY'!$AG$4:$AG$1200,{"Yes Stage 0","Yes Stage I","Yes Stage II","Yes Stage III","Yes Stage IV","Yes Stage Unknown"},'SERVICE ENTRY'!$C$4:$C$1200,'County Report'!A182))+SUM(COUNTIFS('SERVICE ENTRY'!$AL$4:$AL$1200,{"Yes Stage 0","Yes Stage I","Yes Stage II","Yes Stage III","Yes Stage IV","Yes Stage Unknown"},'SERVICE ENTRY'!$C$4:$C$1200,'County Report'!A182))</f>
        <v>0</v>
      </c>
      <c r="C182" s="124">
        <f>COUNTIFS('SERVICE ENTRY'!$C$4:$C$1200,'County Report'!A182,'SERVICE ENTRY'!$AG$4:$AG$1200,"Yes Stage 0")+COUNTIFS('SERVICE ENTRY'!$C$4:$C$1200,'County Report'!A182,'SERVICE ENTRY'!$AL$4:$AL$1200,"Yes Stage 0")</f>
        <v>0</v>
      </c>
      <c r="D182" s="91">
        <f>COUNTIFS('SERVICE ENTRY'!$C$4:$C$1200,'County Report'!A182,'SERVICE ENTRY'!$AG$4:$AG$1200,"Yes Stage I")+COUNTIFS('SERVICE ENTRY'!$C$4:$C$1200,'County Report'!A182,'SERVICE ENTRY'!$AL$4:$AL$1200,"Yes Stage I")</f>
        <v>0</v>
      </c>
      <c r="E182" s="91">
        <f>COUNTIFS('SERVICE ENTRY'!$C$4:$C$1200,'County Report'!A182,'SERVICE ENTRY'!$AG$4:$AG$1200,"Yes Stage III")+COUNTIFS('SERVICE ENTRY'!$C$4:$C$1200,'County Report'!A182,'SERVICE ENTRY'!$AL$4:$AL$1200,"Yes Stage III")</f>
        <v>0</v>
      </c>
      <c r="F182" s="91">
        <f>COUNTIFS('SERVICE ENTRY'!$C$4:$C$1200,'County Report'!A182,'SERVICE ENTRY'!$AG$4:$AG$1200,"Yes Stage III")+COUNTIFS('SERVICE ENTRY'!$C$4:$C$1200,'County Report'!A182,'SERVICE ENTRY'!$AL$4:$AL$1200,"Yes Stage III")</f>
        <v>0</v>
      </c>
      <c r="G182" s="91">
        <f>COUNTIFS('SERVICE ENTRY'!$C$4:$C$1200,'County Report'!A182,'SERVICE ENTRY'!$AG$4:$AG$1200,"Yes Stage IV")+COUNTIFS('SERVICE ENTRY'!$C$4:$C$1200,'County Report'!A182,'SERVICE ENTRY'!$AL$4:$AL$1200,"Yes Stage IV")</f>
        <v>0</v>
      </c>
      <c r="H182" s="91">
        <f>COUNTIFS('SERVICE ENTRY'!$C$4:$C$1200,'County Report'!A182,'SERVICE ENTRY'!$AG$4:$AG$1200,"Yes Stage Unknown")+COUNTIFS('SERVICE ENTRY'!$C$4:$C$1200,'County Report'!A182,'SERVICE ENTRY'!$AL$4:$AL$1200,"Yes Stage Unknown")</f>
        <v>0</v>
      </c>
      <c r="I182" s="186"/>
      <c r="K182" s="242"/>
    </row>
    <row r="183" spans="1:11" x14ac:dyDescent="0.25">
      <c r="A183" s="167" t="s">
        <v>666</v>
      </c>
      <c r="B183" s="126">
        <f>SUM(COUNTIFS('SERVICE ENTRY'!$AG$4:$AG$1200,{"Yes Stage 0","Yes Stage I","Yes Stage II","Yes Stage III","Yes Stage IV","Yes Stage Unknown"},'SERVICE ENTRY'!$C$4:$C$1200,'County Report'!A183))+SUM(COUNTIFS('SERVICE ENTRY'!$AL$4:$AL$1200,{"Yes Stage 0","Yes Stage I","Yes Stage II","Yes Stage III","Yes Stage IV","Yes Stage Unknown"},'SERVICE ENTRY'!$C$4:$C$1200,'County Report'!A183))</f>
        <v>0</v>
      </c>
      <c r="C183" s="124">
        <f>COUNTIFS('SERVICE ENTRY'!$C$4:$C$1200,'County Report'!A183,'SERVICE ENTRY'!$AG$4:$AG$1200,"Yes Stage 0")+COUNTIFS('SERVICE ENTRY'!$C$4:$C$1200,'County Report'!A183,'SERVICE ENTRY'!$AL$4:$AL$1200,"Yes Stage 0")</f>
        <v>0</v>
      </c>
      <c r="D183" s="91">
        <f>COUNTIFS('SERVICE ENTRY'!$C$4:$C$1200,'County Report'!A183,'SERVICE ENTRY'!$AG$4:$AG$1200,"Yes Stage I")+COUNTIFS('SERVICE ENTRY'!$C$4:$C$1200,'County Report'!A183,'SERVICE ENTRY'!$AL$4:$AL$1200,"Yes Stage I")</f>
        <v>0</v>
      </c>
      <c r="E183" s="91">
        <f>COUNTIFS('SERVICE ENTRY'!$C$4:$C$1200,'County Report'!A183,'SERVICE ENTRY'!$AG$4:$AG$1200,"Yes Stage III")+COUNTIFS('SERVICE ENTRY'!$C$4:$C$1200,'County Report'!A183,'SERVICE ENTRY'!$AL$4:$AL$1200,"Yes Stage III")</f>
        <v>0</v>
      </c>
      <c r="F183" s="91">
        <f>COUNTIFS('SERVICE ENTRY'!$C$4:$C$1200,'County Report'!A183,'SERVICE ENTRY'!$AG$4:$AG$1200,"Yes Stage III")+COUNTIFS('SERVICE ENTRY'!$C$4:$C$1200,'County Report'!A183,'SERVICE ENTRY'!$AL$4:$AL$1200,"Yes Stage III")</f>
        <v>0</v>
      </c>
      <c r="G183" s="91">
        <f>COUNTIFS('SERVICE ENTRY'!$C$4:$C$1200,'County Report'!A183,'SERVICE ENTRY'!$AG$4:$AG$1200,"Yes Stage IV")+COUNTIFS('SERVICE ENTRY'!$C$4:$C$1200,'County Report'!A183,'SERVICE ENTRY'!$AL$4:$AL$1200,"Yes Stage IV")</f>
        <v>0</v>
      </c>
      <c r="H183" s="91">
        <f>COUNTIFS('SERVICE ENTRY'!$C$4:$C$1200,'County Report'!A183,'SERVICE ENTRY'!$AG$4:$AG$1200,"Yes Stage Unknown")+COUNTIFS('SERVICE ENTRY'!$C$4:$C$1200,'County Report'!A183,'SERVICE ENTRY'!$AL$4:$AL$1200,"Yes Stage Unknown")</f>
        <v>0</v>
      </c>
      <c r="I183" s="186"/>
      <c r="K183" s="242"/>
    </row>
    <row r="184" spans="1:11" x14ac:dyDescent="0.25">
      <c r="A184" s="167" t="s">
        <v>667</v>
      </c>
      <c r="B184" s="126">
        <f>SUM(COUNTIFS('SERVICE ENTRY'!$AG$4:$AG$1200,{"Yes Stage 0","Yes Stage I","Yes Stage II","Yes Stage III","Yes Stage IV","Yes Stage Unknown"},'SERVICE ENTRY'!$C$4:$C$1200,'County Report'!A184))+SUM(COUNTIFS('SERVICE ENTRY'!$AL$4:$AL$1200,{"Yes Stage 0","Yes Stage I","Yes Stage II","Yes Stage III","Yes Stage IV","Yes Stage Unknown"},'SERVICE ENTRY'!$C$4:$C$1200,'County Report'!A184))</f>
        <v>0</v>
      </c>
      <c r="C184" s="124">
        <f>COUNTIFS('SERVICE ENTRY'!$C$4:$C$1200,'County Report'!A184,'SERVICE ENTRY'!$AG$4:$AG$1200,"Yes Stage 0")+COUNTIFS('SERVICE ENTRY'!$C$4:$C$1200,'County Report'!A184,'SERVICE ENTRY'!$AL$4:$AL$1200,"Yes Stage 0")</f>
        <v>0</v>
      </c>
      <c r="D184" s="91">
        <f>COUNTIFS('SERVICE ENTRY'!$C$4:$C$1200,'County Report'!A184,'SERVICE ENTRY'!$AG$4:$AG$1200,"Yes Stage I")+COUNTIFS('SERVICE ENTRY'!$C$4:$C$1200,'County Report'!A184,'SERVICE ENTRY'!$AL$4:$AL$1200,"Yes Stage I")</f>
        <v>0</v>
      </c>
      <c r="E184" s="91">
        <f>COUNTIFS('SERVICE ENTRY'!$C$4:$C$1200,'County Report'!A184,'SERVICE ENTRY'!$AG$4:$AG$1200,"Yes Stage III")+COUNTIFS('SERVICE ENTRY'!$C$4:$C$1200,'County Report'!A184,'SERVICE ENTRY'!$AL$4:$AL$1200,"Yes Stage III")</f>
        <v>0</v>
      </c>
      <c r="F184" s="91">
        <f>COUNTIFS('SERVICE ENTRY'!$C$4:$C$1200,'County Report'!A184,'SERVICE ENTRY'!$AG$4:$AG$1200,"Yes Stage III")+COUNTIFS('SERVICE ENTRY'!$C$4:$C$1200,'County Report'!A184,'SERVICE ENTRY'!$AL$4:$AL$1200,"Yes Stage III")</f>
        <v>0</v>
      </c>
      <c r="G184" s="91">
        <f>COUNTIFS('SERVICE ENTRY'!$C$4:$C$1200,'County Report'!A184,'SERVICE ENTRY'!$AG$4:$AG$1200,"Yes Stage IV")+COUNTIFS('SERVICE ENTRY'!$C$4:$C$1200,'County Report'!A184,'SERVICE ENTRY'!$AL$4:$AL$1200,"Yes Stage IV")</f>
        <v>0</v>
      </c>
      <c r="H184" s="91">
        <f>COUNTIFS('SERVICE ENTRY'!$C$4:$C$1200,'County Report'!A184,'SERVICE ENTRY'!$AG$4:$AG$1200,"Yes Stage Unknown")+COUNTIFS('SERVICE ENTRY'!$C$4:$C$1200,'County Report'!A184,'SERVICE ENTRY'!$AL$4:$AL$1200,"Yes Stage Unknown")</f>
        <v>0</v>
      </c>
      <c r="I184" s="186"/>
      <c r="K184" s="242"/>
    </row>
    <row r="185" spans="1:11" x14ac:dyDescent="0.25">
      <c r="A185" s="167" t="s">
        <v>668</v>
      </c>
      <c r="B185" s="126">
        <f>SUM(COUNTIFS('SERVICE ENTRY'!$AG$4:$AG$1200,{"Yes Stage 0","Yes Stage I","Yes Stage II","Yes Stage III","Yes Stage IV","Yes Stage Unknown"},'SERVICE ENTRY'!$C$4:$C$1200,'County Report'!A185))+SUM(COUNTIFS('SERVICE ENTRY'!$AL$4:$AL$1200,{"Yes Stage 0","Yes Stage I","Yes Stage II","Yes Stage III","Yes Stage IV","Yes Stage Unknown"},'SERVICE ENTRY'!$C$4:$C$1200,'County Report'!A185))</f>
        <v>0</v>
      </c>
      <c r="C185" s="124">
        <f>COUNTIFS('SERVICE ENTRY'!$C$4:$C$1200,'County Report'!A185,'SERVICE ENTRY'!$AG$4:$AG$1200,"Yes Stage 0")+COUNTIFS('SERVICE ENTRY'!$C$4:$C$1200,'County Report'!A185,'SERVICE ENTRY'!$AL$4:$AL$1200,"Yes Stage 0")</f>
        <v>0</v>
      </c>
      <c r="D185" s="91">
        <f>COUNTIFS('SERVICE ENTRY'!$C$4:$C$1200,'County Report'!A185,'SERVICE ENTRY'!$AG$4:$AG$1200,"Yes Stage I")+COUNTIFS('SERVICE ENTRY'!$C$4:$C$1200,'County Report'!A185,'SERVICE ENTRY'!$AL$4:$AL$1200,"Yes Stage I")</f>
        <v>0</v>
      </c>
      <c r="E185" s="91">
        <f>COUNTIFS('SERVICE ENTRY'!$C$4:$C$1200,'County Report'!A185,'SERVICE ENTRY'!$AG$4:$AG$1200,"Yes Stage III")+COUNTIFS('SERVICE ENTRY'!$C$4:$C$1200,'County Report'!A185,'SERVICE ENTRY'!$AL$4:$AL$1200,"Yes Stage III")</f>
        <v>0</v>
      </c>
      <c r="F185" s="91">
        <f>COUNTIFS('SERVICE ENTRY'!$C$4:$C$1200,'County Report'!A185,'SERVICE ENTRY'!$AG$4:$AG$1200,"Yes Stage III")+COUNTIFS('SERVICE ENTRY'!$C$4:$C$1200,'County Report'!A185,'SERVICE ENTRY'!$AL$4:$AL$1200,"Yes Stage III")</f>
        <v>0</v>
      </c>
      <c r="G185" s="91">
        <f>COUNTIFS('SERVICE ENTRY'!$C$4:$C$1200,'County Report'!A185,'SERVICE ENTRY'!$AG$4:$AG$1200,"Yes Stage IV")+COUNTIFS('SERVICE ENTRY'!$C$4:$C$1200,'County Report'!A185,'SERVICE ENTRY'!$AL$4:$AL$1200,"Yes Stage IV")</f>
        <v>0</v>
      </c>
      <c r="H185" s="91">
        <f>COUNTIFS('SERVICE ENTRY'!$C$4:$C$1200,'County Report'!A185,'SERVICE ENTRY'!$AG$4:$AG$1200,"Yes Stage Unknown")+COUNTIFS('SERVICE ENTRY'!$C$4:$C$1200,'County Report'!A185,'SERVICE ENTRY'!$AL$4:$AL$1200,"Yes Stage Unknown")</f>
        <v>0</v>
      </c>
      <c r="I185" s="186"/>
      <c r="K185" s="242"/>
    </row>
    <row r="186" spans="1:11" x14ac:dyDescent="0.25">
      <c r="A186" s="167" t="s">
        <v>669</v>
      </c>
      <c r="B186" s="126">
        <f>SUM(COUNTIFS('SERVICE ENTRY'!$AG$4:$AG$1200,{"Yes Stage 0","Yes Stage I","Yes Stage II","Yes Stage III","Yes Stage IV","Yes Stage Unknown"},'SERVICE ENTRY'!$C$4:$C$1200,'County Report'!A186))+SUM(COUNTIFS('SERVICE ENTRY'!$AL$4:$AL$1200,{"Yes Stage 0","Yes Stage I","Yes Stage II","Yes Stage III","Yes Stage IV","Yes Stage Unknown"},'SERVICE ENTRY'!$C$4:$C$1200,'County Report'!A186))</f>
        <v>0</v>
      </c>
      <c r="C186" s="124">
        <f>COUNTIFS('SERVICE ENTRY'!$C$4:$C$1200,'County Report'!A186,'SERVICE ENTRY'!$AG$4:$AG$1200,"Yes Stage 0")+COUNTIFS('SERVICE ENTRY'!$C$4:$C$1200,'County Report'!A186,'SERVICE ENTRY'!$AL$4:$AL$1200,"Yes Stage 0")</f>
        <v>0</v>
      </c>
      <c r="D186" s="91">
        <f>COUNTIFS('SERVICE ENTRY'!$C$4:$C$1200,'County Report'!A186,'SERVICE ENTRY'!$AG$4:$AG$1200,"Yes Stage I")+COUNTIFS('SERVICE ENTRY'!$C$4:$C$1200,'County Report'!A186,'SERVICE ENTRY'!$AL$4:$AL$1200,"Yes Stage I")</f>
        <v>0</v>
      </c>
      <c r="E186" s="91">
        <f>COUNTIFS('SERVICE ENTRY'!$C$4:$C$1200,'County Report'!A186,'SERVICE ENTRY'!$AG$4:$AG$1200,"Yes Stage III")+COUNTIFS('SERVICE ENTRY'!$C$4:$C$1200,'County Report'!A186,'SERVICE ENTRY'!$AL$4:$AL$1200,"Yes Stage III")</f>
        <v>0</v>
      </c>
      <c r="F186" s="91">
        <f>COUNTIFS('SERVICE ENTRY'!$C$4:$C$1200,'County Report'!A186,'SERVICE ENTRY'!$AG$4:$AG$1200,"Yes Stage III")+COUNTIFS('SERVICE ENTRY'!$C$4:$C$1200,'County Report'!A186,'SERVICE ENTRY'!$AL$4:$AL$1200,"Yes Stage III")</f>
        <v>0</v>
      </c>
      <c r="G186" s="91">
        <f>COUNTIFS('SERVICE ENTRY'!$C$4:$C$1200,'County Report'!A186,'SERVICE ENTRY'!$AG$4:$AG$1200,"Yes Stage IV")+COUNTIFS('SERVICE ENTRY'!$C$4:$C$1200,'County Report'!A186,'SERVICE ENTRY'!$AL$4:$AL$1200,"Yes Stage IV")</f>
        <v>0</v>
      </c>
      <c r="H186" s="91">
        <f>COUNTIFS('SERVICE ENTRY'!$C$4:$C$1200,'County Report'!A186,'SERVICE ENTRY'!$AG$4:$AG$1200,"Yes Stage Unknown")+COUNTIFS('SERVICE ENTRY'!$C$4:$C$1200,'County Report'!A186,'SERVICE ENTRY'!$AL$4:$AL$1200,"Yes Stage Unknown")</f>
        <v>0</v>
      </c>
      <c r="I186" s="186"/>
      <c r="K186" s="242"/>
    </row>
    <row r="187" spans="1:11" x14ac:dyDescent="0.25">
      <c r="A187" s="167" t="s">
        <v>670</v>
      </c>
      <c r="B187" s="126">
        <f>SUM(COUNTIFS('SERVICE ENTRY'!$AG$4:$AG$1200,{"Yes Stage 0","Yes Stage I","Yes Stage II","Yes Stage III","Yes Stage IV","Yes Stage Unknown"},'SERVICE ENTRY'!$C$4:$C$1200,'County Report'!A187))+SUM(COUNTIFS('SERVICE ENTRY'!$AL$4:$AL$1200,{"Yes Stage 0","Yes Stage I","Yes Stage II","Yes Stage III","Yes Stage IV","Yes Stage Unknown"},'SERVICE ENTRY'!$C$4:$C$1200,'County Report'!A187))</f>
        <v>0</v>
      </c>
      <c r="C187" s="124">
        <f>COUNTIFS('SERVICE ENTRY'!$C$4:$C$1200,'County Report'!A187,'SERVICE ENTRY'!$AG$4:$AG$1200,"Yes Stage 0")+COUNTIFS('SERVICE ENTRY'!$C$4:$C$1200,'County Report'!A187,'SERVICE ENTRY'!$AL$4:$AL$1200,"Yes Stage 0")</f>
        <v>0</v>
      </c>
      <c r="D187" s="91">
        <f>COUNTIFS('SERVICE ENTRY'!$C$4:$C$1200,'County Report'!A187,'SERVICE ENTRY'!$AG$4:$AG$1200,"Yes Stage I")+COUNTIFS('SERVICE ENTRY'!$C$4:$C$1200,'County Report'!A187,'SERVICE ENTRY'!$AL$4:$AL$1200,"Yes Stage I")</f>
        <v>0</v>
      </c>
      <c r="E187" s="91">
        <f>COUNTIFS('SERVICE ENTRY'!$C$4:$C$1200,'County Report'!A187,'SERVICE ENTRY'!$AG$4:$AG$1200,"Yes Stage III")+COUNTIFS('SERVICE ENTRY'!$C$4:$C$1200,'County Report'!A187,'SERVICE ENTRY'!$AL$4:$AL$1200,"Yes Stage III")</f>
        <v>0</v>
      </c>
      <c r="F187" s="91">
        <f>COUNTIFS('SERVICE ENTRY'!$C$4:$C$1200,'County Report'!A187,'SERVICE ENTRY'!$AG$4:$AG$1200,"Yes Stage III")+COUNTIFS('SERVICE ENTRY'!$C$4:$C$1200,'County Report'!A187,'SERVICE ENTRY'!$AL$4:$AL$1200,"Yes Stage III")</f>
        <v>0</v>
      </c>
      <c r="G187" s="91">
        <f>COUNTIFS('SERVICE ENTRY'!$C$4:$C$1200,'County Report'!A187,'SERVICE ENTRY'!$AG$4:$AG$1200,"Yes Stage IV")+COUNTIFS('SERVICE ENTRY'!$C$4:$C$1200,'County Report'!A187,'SERVICE ENTRY'!$AL$4:$AL$1200,"Yes Stage IV")</f>
        <v>0</v>
      </c>
      <c r="H187" s="91">
        <f>COUNTIFS('SERVICE ENTRY'!$C$4:$C$1200,'County Report'!A187,'SERVICE ENTRY'!$AG$4:$AG$1200,"Yes Stage Unknown")+COUNTIFS('SERVICE ENTRY'!$C$4:$C$1200,'County Report'!A187,'SERVICE ENTRY'!$AL$4:$AL$1200,"Yes Stage Unknown")</f>
        <v>0</v>
      </c>
      <c r="I187" s="186"/>
      <c r="K187" s="242"/>
    </row>
    <row r="188" spans="1:11" x14ac:dyDescent="0.25">
      <c r="A188" s="167" t="s">
        <v>671</v>
      </c>
      <c r="B188" s="126">
        <f>SUM(COUNTIFS('SERVICE ENTRY'!$AG$4:$AG$1200,{"Yes Stage 0","Yes Stage I","Yes Stage II","Yes Stage III","Yes Stage IV","Yes Stage Unknown"},'SERVICE ENTRY'!$C$4:$C$1200,'County Report'!A188))+SUM(COUNTIFS('SERVICE ENTRY'!$AL$4:$AL$1200,{"Yes Stage 0","Yes Stage I","Yes Stage II","Yes Stage III","Yes Stage IV","Yes Stage Unknown"},'SERVICE ENTRY'!$C$4:$C$1200,'County Report'!A188))</f>
        <v>0</v>
      </c>
      <c r="C188" s="124">
        <f>COUNTIFS('SERVICE ENTRY'!$C$4:$C$1200,'County Report'!A188,'SERVICE ENTRY'!$AG$4:$AG$1200,"Yes Stage 0")+COUNTIFS('SERVICE ENTRY'!$C$4:$C$1200,'County Report'!A188,'SERVICE ENTRY'!$AL$4:$AL$1200,"Yes Stage 0")</f>
        <v>0</v>
      </c>
      <c r="D188" s="91">
        <f>COUNTIFS('SERVICE ENTRY'!$C$4:$C$1200,'County Report'!A188,'SERVICE ENTRY'!$AG$4:$AG$1200,"Yes Stage I")+COUNTIFS('SERVICE ENTRY'!$C$4:$C$1200,'County Report'!A188,'SERVICE ENTRY'!$AL$4:$AL$1200,"Yes Stage I")</f>
        <v>0</v>
      </c>
      <c r="E188" s="91">
        <f>COUNTIFS('SERVICE ENTRY'!$C$4:$C$1200,'County Report'!A188,'SERVICE ENTRY'!$AG$4:$AG$1200,"Yes Stage III")+COUNTIFS('SERVICE ENTRY'!$C$4:$C$1200,'County Report'!A188,'SERVICE ENTRY'!$AL$4:$AL$1200,"Yes Stage III")</f>
        <v>0</v>
      </c>
      <c r="F188" s="91">
        <f>COUNTIFS('SERVICE ENTRY'!$C$4:$C$1200,'County Report'!A188,'SERVICE ENTRY'!$AG$4:$AG$1200,"Yes Stage III")+COUNTIFS('SERVICE ENTRY'!$C$4:$C$1200,'County Report'!A188,'SERVICE ENTRY'!$AL$4:$AL$1200,"Yes Stage III")</f>
        <v>0</v>
      </c>
      <c r="G188" s="91">
        <f>COUNTIFS('SERVICE ENTRY'!$C$4:$C$1200,'County Report'!A188,'SERVICE ENTRY'!$AG$4:$AG$1200,"Yes Stage IV")+COUNTIFS('SERVICE ENTRY'!$C$4:$C$1200,'County Report'!A188,'SERVICE ENTRY'!$AL$4:$AL$1200,"Yes Stage IV")</f>
        <v>0</v>
      </c>
      <c r="H188" s="91">
        <f>COUNTIFS('SERVICE ENTRY'!$C$4:$C$1200,'County Report'!A188,'SERVICE ENTRY'!$AG$4:$AG$1200,"Yes Stage Unknown")+COUNTIFS('SERVICE ENTRY'!$C$4:$C$1200,'County Report'!A188,'SERVICE ENTRY'!$AL$4:$AL$1200,"Yes Stage Unknown")</f>
        <v>0</v>
      </c>
      <c r="I188" s="186"/>
      <c r="K188" s="242"/>
    </row>
    <row r="189" spans="1:11" x14ac:dyDescent="0.25">
      <c r="A189" s="167" t="s">
        <v>672</v>
      </c>
      <c r="B189" s="126">
        <f>SUM(COUNTIFS('SERVICE ENTRY'!$AG$4:$AG$1200,{"Yes Stage 0","Yes Stage I","Yes Stage II","Yes Stage III","Yes Stage IV","Yes Stage Unknown"},'SERVICE ENTRY'!$C$4:$C$1200,'County Report'!A189))+SUM(COUNTIFS('SERVICE ENTRY'!$AL$4:$AL$1200,{"Yes Stage 0","Yes Stage I","Yes Stage II","Yes Stage III","Yes Stage IV","Yes Stage Unknown"},'SERVICE ENTRY'!$C$4:$C$1200,'County Report'!A189))</f>
        <v>0</v>
      </c>
      <c r="C189" s="124">
        <f>COUNTIFS('SERVICE ENTRY'!$C$4:$C$1200,'County Report'!A189,'SERVICE ENTRY'!$AG$4:$AG$1200,"Yes Stage 0")+COUNTIFS('SERVICE ENTRY'!$C$4:$C$1200,'County Report'!A189,'SERVICE ENTRY'!$AL$4:$AL$1200,"Yes Stage 0")</f>
        <v>0</v>
      </c>
      <c r="D189" s="91">
        <f>COUNTIFS('SERVICE ENTRY'!$C$4:$C$1200,'County Report'!A189,'SERVICE ENTRY'!$AG$4:$AG$1200,"Yes Stage I")+COUNTIFS('SERVICE ENTRY'!$C$4:$C$1200,'County Report'!A189,'SERVICE ENTRY'!$AL$4:$AL$1200,"Yes Stage I")</f>
        <v>0</v>
      </c>
      <c r="E189" s="91">
        <f>COUNTIFS('SERVICE ENTRY'!$C$4:$C$1200,'County Report'!A189,'SERVICE ENTRY'!$AG$4:$AG$1200,"Yes Stage III")+COUNTIFS('SERVICE ENTRY'!$C$4:$C$1200,'County Report'!A189,'SERVICE ENTRY'!$AL$4:$AL$1200,"Yes Stage III")</f>
        <v>0</v>
      </c>
      <c r="F189" s="91">
        <f>COUNTIFS('SERVICE ENTRY'!$C$4:$C$1200,'County Report'!A189,'SERVICE ENTRY'!$AG$4:$AG$1200,"Yes Stage III")+COUNTIFS('SERVICE ENTRY'!$C$4:$C$1200,'County Report'!A189,'SERVICE ENTRY'!$AL$4:$AL$1200,"Yes Stage III")</f>
        <v>0</v>
      </c>
      <c r="G189" s="91">
        <f>COUNTIFS('SERVICE ENTRY'!$C$4:$C$1200,'County Report'!A189,'SERVICE ENTRY'!$AG$4:$AG$1200,"Yes Stage IV")+COUNTIFS('SERVICE ENTRY'!$C$4:$C$1200,'County Report'!A189,'SERVICE ENTRY'!$AL$4:$AL$1200,"Yes Stage IV")</f>
        <v>0</v>
      </c>
      <c r="H189" s="91">
        <f>COUNTIFS('SERVICE ENTRY'!$C$4:$C$1200,'County Report'!A189,'SERVICE ENTRY'!$AG$4:$AG$1200,"Yes Stage Unknown")+COUNTIFS('SERVICE ENTRY'!$C$4:$C$1200,'County Report'!A189,'SERVICE ENTRY'!$AL$4:$AL$1200,"Yes Stage Unknown")</f>
        <v>0</v>
      </c>
      <c r="I189" s="186"/>
      <c r="K189" s="242"/>
    </row>
    <row r="190" spans="1:11" x14ac:dyDescent="0.25">
      <c r="A190" s="167" t="s">
        <v>673</v>
      </c>
      <c r="B190" s="126">
        <f>SUM(COUNTIFS('SERVICE ENTRY'!$AG$4:$AG$1200,{"Yes Stage 0","Yes Stage I","Yes Stage II","Yes Stage III","Yes Stage IV","Yes Stage Unknown"},'SERVICE ENTRY'!$C$4:$C$1200,'County Report'!A190))+SUM(COUNTIFS('SERVICE ENTRY'!$AL$4:$AL$1200,{"Yes Stage 0","Yes Stage I","Yes Stage II","Yes Stage III","Yes Stage IV","Yes Stage Unknown"},'SERVICE ENTRY'!$C$4:$C$1200,'County Report'!A190))</f>
        <v>0</v>
      </c>
      <c r="C190" s="124">
        <f>COUNTIFS('SERVICE ENTRY'!$C$4:$C$1200,'County Report'!A190,'SERVICE ENTRY'!$AG$4:$AG$1200,"Yes Stage 0")+COUNTIFS('SERVICE ENTRY'!$C$4:$C$1200,'County Report'!A190,'SERVICE ENTRY'!$AL$4:$AL$1200,"Yes Stage 0")</f>
        <v>0</v>
      </c>
      <c r="D190" s="91">
        <f>COUNTIFS('SERVICE ENTRY'!$C$4:$C$1200,'County Report'!A190,'SERVICE ENTRY'!$AG$4:$AG$1200,"Yes Stage I")+COUNTIFS('SERVICE ENTRY'!$C$4:$C$1200,'County Report'!A190,'SERVICE ENTRY'!$AL$4:$AL$1200,"Yes Stage I")</f>
        <v>0</v>
      </c>
      <c r="E190" s="91">
        <f>COUNTIFS('SERVICE ENTRY'!$C$4:$C$1200,'County Report'!A190,'SERVICE ENTRY'!$AG$4:$AG$1200,"Yes Stage III")+COUNTIFS('SERVICE ENTRY'!$C$4:$C$1200,'County Report'!A190,'SERVICE ENTRY'!$AL$4:$AL$1200,"Yes Stage III")</f>
        <v>0</v>
      </c>
      <c r="F190" s="91">
        <f>COUNTIFS('SERVICE ENTRY'!$C$4:$C$1200,'County Report'!A190,'SERVICE ENTRY'!$AG$4:$AG$1200,"Yes Stage III")+COUNTIFS('SERVICE ENTRY'!$C$4:$C$1200,'County Report'!A190,'SERVICE ENTRY'!$AL$4:$AL$1200,"Yes Stage III")</f>
        <v>0</v>
      </c>
      <c r="G190" s="91">
        <f>COUNTIFS('SERVICE ENTRY'!$C$4:$C$1200,'County Report'!A190,'SERVICE ENTRY'!$AG$4:$AG$1200,"Yes Stage IV")+COUNTIFS('SERVICE ENTRY'!$C$4:$C$1200,'County Report'!A190,'SERVICE ENTRY'!$AL$4:$AL$1200,"Yes Stage IV")</f>
        <v>0</v>
      </c>
      <c r="H190" s="91">
        <f>COUNTIFS('SERVICE ENTRY'!$C$4:$C$1200,'County Report'!A190,'SERVICE ENTRY'!$AG$4:$AG$1200,"Yes Stage Unknown")+COUNTIFS('SERVICE ENTRY'!$C$4:$C$1200,'County Report'!A190,'SERVICE ENTRY'!$AL$4:$AL$1200,"Yes Stage Unknown")</f>
        <v>0</v>
      </c>
      <c r="I190" s="186"/>
      <c r="K190" s="242"/>
    </row>
    <row r="191" spans="1:11" x14ac:dyDescent="0.25">
      <c r="A191" s="167" t="s">
        <v>674</v>
      </c>
      <c r="B191" s="126">
        <f>SUM(COUNTIFS('SERVICE ENTRY'!$AG$4:$AG$1200,{"Yes Stage 0","Yes Stage I","Yes Stage II","Yes Stage III","Yes Stage IV","Yes Stage Unknown"},'SERVICE ENTRY'!$C$4:$C$1200,'County Report'!A191))+SUM(COUNTIFS('SERVICE ENTRY'!$AL$4:$AL$1200,{"Yes Stage 0","Yes Stage I","Yes Stage II","Yes Stage III","Yes Stage IV","Yes Stage Unknown"},'SERVICE ENTRY'!$C$4:$C$1200,'County Report'!A191))</f>
        <v>0</v>
      </c>
      <c r="C191" s="124">
        <f>COUNTIFS('SERVICE ENTRY'!$C$4:$C$1200,'County Report'!A191,'SERVICE ENTRY'!$AG$4:$AG$1200,"Yes Stage 0")+COUNTIFS('SERVICE ENTRY'!$C$4:$C$1200,'County Report'!A191,'SERVICE ENTRY'!$AL$4:$AL$1200,"Yes Stage 0")</f>
        <v>0</v>
      </c>
      <c r="D191" s="91">
        <f>COUNTIFS('SERVICE ENTRY'!$C$4:$C$1200,'County Report'!A191,'SERVICE ENTRY'!$AG$4:$AG$1200,"Yes Stage I")+COUNTIFS('SERVICE ENTRY'!$C$4:$C$1200,'County Report'!A191,'SERVICE ENTRY'!$AL$4:$AL$1200,"Yes Stage I")</f>
        <v>0</v>
      </c>
      <c r="E191" s="91">
        <f>COUNTIFS('SERVICE ENTRY'!$C$4:$C$1200,'County Report'!A191,'SERVICE ENTRY'!$AG$4:$AG$1200,"Yes Stage III")+COUNTIFS('SERVICE ENTRY'!$C$4:$C$1200,'County Report'!A191,'SERVICE ENTRY'!$AL$4:$AL$1200,"Yes Stage III")</f>
        <v>0</v>
      </c>
      <c r="F191" s="91">
        <f>COUNTIFS('SERVICE ENTRY'!$C$4:$C$1200,'County Report'!A191,'SERVICE ENTRY'!$AG$4:$AG$1200,"Yes Stage III")+COUNTIFS('SERVICE ENTRY'!$C$4:$C$1200,'County Report'!A191,'SERVICE ENTRY'!$AL$4:$AL$1200,"Yes Stage III")</f>
        <v>0</v>
      </c>
      <c r="G191" s="91">
        <f>COUNTIFS('SERVICE ENTRY'!$C$4:$C$1200,'County Report'!A191,'SERVICE ENTRY'!$AG$4:$AG$1200,"Yes Stage IV")+COUNTIFS('SERVICE ENTRY'!$C$4:$C$1200,'County Report'!A191,'SERVICE ENTRY'!$AL$4:$AL$1200,"Yes Stage IV")</f>
        <v>0</v>
      </c>
      <c r="H191" s="91">
        <f>COUNTIFS('SERVICE ENTRY'!$C$4:$C$1200,'County Report'!A191,'SERVICE ENTRY'!$AG$4:$AG$1200,"Yes Stage Unknown")+COUNTIFS('SERVICE ENTRY'!$C$4:$C$1200,'County Report'!A191,'SERVICE ENTRY'!$AL$4:$AL$1200,"Yes Stage Unknown")</f>
        <v>0</v>
      </c>
      <c r="I191" s="186"/>
      <c r="K191" s="242"/>
    </row>
    <row r="192" spans="1:11" x14ac:dyDescent="0.25">
      <c r="A192" s="167" t="s">
        <v>675</v>
      </c>
      <c r="B192" s="126">
        <f>SUM(COUNTIFS('SERVICE ENTRY'!$AG$4:$AG$1200,{"Yes Stage 0","Yes Stage I","Yes Stage II","Yes Stage III","Yes Stage IV","Yes Stage Unknown"},'SERVICE ENTRY'!$C$4:$C$1200,'County Report'!A192))+SUM(COUNTIFS('SERVICE ENTRY'!$AL$4:$AL$1200,{"Yes Stage 0","Yes Stage I","Yes Stage II","Yes Stage III","Yes Stage IV","Yes Stage Unknown"},'SERVICE ENTRY'!$C$4:$C$1200,'County Report'!A192))</f>
        <v>0</v>
      </c>
      <c r="C192" s="124">
        <f>COUNTIFS('SERVICE ENTRY'!$C$4:$C$1200,'County Report'!A192,'SERVICE ENTRY'!$AG$4:$AG$1200,"Yes Stage 0")+COUNTIFS('SERVICE ENTRY'!$C$4:$C$1200,'County Report'!A192,'SERVICE ENTRY'!$AL$4:$AL$1200,"Yes Stage 0")</f>
        <v>0</v>
      </c>
      <c r="D192" s="91">
        <f>COUNTIFS('SERVICE ENTRY'!$C$4:$C$1200,'County Report'!A192,'SERVICE ENTRY'!$AG$4:$AG$1200,"Yes Stage I")+COUNTIFS('SERVICE ENTRY'!$C$4:$C$1200,'County Report'!A192,'SERVICE ENTRY'!$AL$4:$AL$1200,"Yes Stage I")</f>
        <v>0</v>
      </c>
      <c r="E192" s="91">
        <f>COUNTIFS('SERVICE ENTRY'!$C$4:$C$1200,'County Report'!A192,'SERVICE ENTRY'!$AG$4:$AG$1200,"Yes Stage III")+COUNTIFS('SERVICE ENTRY'!$C$4:$C$1200,'County Report'!A192,'SERVICE ENTRY'!$AL$4:$AL$1200,"Yes Stage III")</f>
        <v>0</v>
      </c>
      <c r="F192" s="91">
        <f>COUNTIFS('SERVICE ENTRY'!$C$4:$C$1200,'County Report'!A192,'SERVICE ENTRY'!$AG$4:$AG$1200,"Yes Stage III")+COUNTIFS('SERVICE ENTRY'!$C$4:$C$1200,'County Report'!A192,'SERVICE ENTRY'!$AL$4:$AL$1200,"Yes Stage III")</f>
        <v>0</v>
      </c>
      <c r="G192" s="91">
        <f>COUNTIFS('SERVICE ENTRY'!$C$4:$C$1200,'County Report'!A192,'SERVICE ENTRY'!$AG$4:$AG$1200,"Yes Stage IV")+COUNTIFS('SERVICE ENTRY'!$C$4:$C$1200,'County Report'!A192,'SERVICE ENTRY'!$AL$4:$AL$1200,"Yes Stage IV")</f>
        <v>0</v>
      </c>
      <c r="H192" s="91">
        <f>COUNTIFS('SERVICE ENTRY'!$C$4:$C$1200,'County Report'!A192,'SERVICE ENTRY'!$AG$4:$AG$1200,"Yes Stage Unknown")+COUNTIFS('SERVICE ENTRY'!$C$4:$C$1200,'County Report'!A192,'SERVICE ENTRY'!$AL$4:$AL$1200,"Yes Stage Unknown")</f>
        <v>0</v>
      </c>
      <c r="I192" s="186"/>
      <c r="K192" s="242"/>
    </row>
    <row r="193" spans="1:11" x14ac:dyDescent="0.25">
      <c r="A193" s="167" t="s">
        <v>676</v>
      </c>
      <c r="B193" s="126">
        <f>SUM(COUNTIFS('SERVICE ENTRY'!$AG$4:$AG$1200,{"Yes Stage 0","Yes Stage I","Yes Stage II","Yes Stage III","Yes Stage IV","Yes Stage Unknown"},'SERVICE ENTRY'!$C$4:$C$1200,'County Report'!A193))+SUM(COUNTIFS('SERVICE ENTRY'!$AL$4:$AL$1200,{"Yes Stage 0","Yes Stage I","Yes Stage II","Yes Stage III","Yes Stage IV","Yes Stage Unknown"},'SERVICE ENTRY'!$C$4:$C$1200,'County Report'!A193))</f>
        <v>0</v>
      </c>
      <c r="C193" s="124">
        <f>COUNTIFS('SERVICE ENTRY'!$C$4:$C$1200,'County Report'!A193,'SERVICE ENTRY'!$AG$4:$AG$1200,"Yes Stage 0")+COUNTIFS('SERVICE ENTRY'!$C$4:$C$1200,'County Report'!A193,'SERVICE ENTRY'!$AL$4:$AL$1200,"Yes Stage 0")</f>
        <v>0</v>
      </c>
      <c r="D193" s="91">
        <f>COUNTIFS('SERVICE ENTRY'!$C$4:$C$1200,'County Report'!A193,'SERVICE ENTRY'!$AG$4:$AG$1200,"Yes Stage I")+COUNTIFS('SERVICE ENTRY'!$C$4:$C$1200,'County Report'!A193,'SERVICE ENTRY'!$AL$4:$AL$1200,"Yes Stage I")</f>
        <v>0</v>
      </c>
      <c r="E193" s="91">
        <f>COUNTIFS('SERVICE ENTRY'!$C$4:$C$1200,'County Report'!A193,'SERVICE ENTRY'!$AG$4:$AG$1200,"Yes Stage III")+COUNTIFS('SERVICE ENTRY'!$C$4:$C$1200,'County Report'!A193,'SERVICE ENTRY'!$AL$4:$AL$1200,"Yes Stage III")</f>
        <v>0</v>
      </c>
      <c r="F193" s="91">
        <f>COUNTIFS('SERVICE ENTRY'!$C$4:$C$1200,'County Report'!A193,'SERVICE ENTRY'!$AG$4:$AG$1200,"Yes Stage III")+COUNTIFS('SERVICE ENTRY'!$C$4:$C$1200,'County Report'!A193,'SERVICE ENTRY'!$AL$4:$AL$1200,"Yes Stage III")</f>
        <v>0</v>
      </c>
      <c r="G193" s="91">
        <f>COUNTIFS('SERVICE ENTRY'!$C$4:$C$1200,'County Report'!A193,'SERVICE ENTRY'!$AG$4:$AG$1200,"Yes Stage IV")+COUNTIFS('SERVICE ENTRY'!$C$4:$C$1200,'County Report'!A193,'SERVICE ENTRY'!$AL$4:$AL$1200,"Yes Stage IV")</f>
        <v>0</v>
      </c>
      <c r="H193" s="91">
        <f>COUNTIFS('SERVICE ENTRY'!$C$4:$C$1200,'County Report'!A193,'SERVICE ENTRY'!$AG$4:$AG$1200,"Yes Stage Unknown")+COUNTIFS('SERVICE ENTRY'!$C$4:$C$1200,'County Report'!A193,'SERVICE ENTRY'!$AL$4:$AL$1200,"Yes Stage Unknown")</f>
        <v>0</v>
      </c>
      <c r="I193" s="186"/>
      <c r="K193" s="242"/>
    </row>
    <row r="194" spans="1:11" x14ac:dyDescent="0.25">
      <c r="A194" s="167" t="s">
        <v>677</v>
      </c>
      <c r="B194" s="126">
        <f>SUM(COUNTIFS('SERVICE ENTRY'!$AG$4:$AG$1200,{"Yes Stage 0","Yes Stage I","Yes Stage II","Yes Stage III","Yes Stage IV","Yes Stage Unknown"},'SERVICE ENTRY'!$C$4:$C$1200,'County Report'!A194))+SUM(COUNTIFS('SERVICE ENTRY'!$AL$4:$AL$1200,{"Yes Stage 0","Yes Stage I","Yes Stage II","Yes Stage III","Yes Stage IV","Yes Stage Unknown"},'SERVICE ENTRY'!$C$4:$C$1200,'County Report'!A194))</f>
        <v>0</v>
      </c>
      <c r="C194" s="124">
        <f>COUNTIFS('SERVICE ENTRY'!$C$4:$C$1200,'County Report'!A194,'SERVICE ENTRY'!$AG$4:$AG$1200,"Yes Stage 0")+COUNTIFS('SERVICE ENTRY'!$C$4:$C$1200,'County Report'!A194,'SERVICE ENTRY'!$AL$4:$AL$1200,"Yes Stage 0")</f>
        <v>0</v>
      </c>
      <c r="D194" s="91">
        <f>COUNTIFS('SERVICE ENTRY'!$C$4:$C$1200,'County Report'!A194,'SERVICE ENTRY'!$AG$4:$AG$1200,"Yes Stage I")+COUNTIFS('SERVICE ENTRY'!$C$4:$C$1200,'County Report'!A194,'SERVICE ENTRY'!$AL$4:$AL$1200,"Yes Stage I")</f>
        <v>0</v>
      </c>
      <c r="E194" s="91">
        <f>COUNTIFS('SERVICE ENTRY'!$C$4:$C$1200,'County Report'!A194,'SERVICE ENTRY'!$AG$4:$AG$1200,"Yes Stage III")+COUNTIFS('SERVICE ENTRY'!$C$4:$C$1200,'County Report'!A194,'SERVICE ENTRY'!$AL$4:$AL$1200,"Yes Stage III")</f>
        <v>0</v>
      </c>
      <c r="F194" s="91">
        <f>COUNTIFS('SERVICE ENTRY'!$C$4:$C$1200,'County Report'!A194,'SERVICE ENTRY'!$AG$4:$AG$1200,"Yes Stage III")+COUNTIFS('SERVICE ENTRY'!$C$4:$C$1200,'County Report'!A194,'SERVICE ENTRY'!$AL$4:$AL$1200,"Yes Stage III")</f>
        <v>0</v>
      </c>
      <c r="G194" s="91">
        <f>COUNTIFS('SERVICE ENTRY'!$C$4:$C$1200,'County Report'!A194,'SERVICE ENTRY'!$AG$4:$AG$1200,"Yes Stage IV")+COUNTIFS('SERVICE ENTRY'!$C$4:$C$1200,'County Report'!A194,'SERVICE ENTRY'!$AL$4:$AL$1200,"Yes Stage IV")</f>
        <v>0</v>
      </c>
      <c r="H194" s="91">
        <f>COUNTIFS('SERVICE ENTRY'!$C$4:$C$1200,'County Report'!A194,'SERVICE ENTRY'!$AG$4:$AG$1200,"Yes Stage Unknown")+COUNTIFS('SERVICE ENTRY'!$C$4:$C$1200,'County Report'!A194,'SERVICE ENTRY'!$AL$4:$AL$1200,"Yes Stage Unknown")</f>
        <v>0</v>
      </c>
      <c r="I194" s="186"/>
      <c r="K194" s="242"/>
    </row>
    <row r="195" spans="1:11" x14ac:dyDescent="0.25">
      <c r="A195" s="167" t="s">
        <v>678</v>
      </c>
      <c r="B195" s="126">
        <f>SUM(COUNTIFS('SERVICE ENTRY'!$AG$4:$AG$1200,{"Yes Stage 0","Yes Stage I","Yes Stage II","Yes Stage III","Yes Stage IV","Yes Stage Unknown"},'SERVICE ENTRY'!$C$4:$C$1200,'County Report'!A195))+SUM(COUNTIFS('SERVICE ENTRY'!$AL$4:$AL$1200,{"Yes Stage 0","Yes Stage I","Yes Stage II","Yes Stage III","Yes Stage IV","Yes Stage Unknown"},'SERVICE ENTRY'!$C$4:$C$1200,'County Report'!A195))</f>
        <v>0</v>
      </c>
      <c r="C195" s="124">
        <f>COUNTIFS('SERVICE ENTRY'!$C$4:$C$1200,'County Report'!A195,'SERVICE ENTRY'!$AG$4:$AG$1200,"Yes Stage 0")+COUNTIFS('SERVICE ENTRY'!$C$4:$C$1200,'County Report'!A195,'SERVICE ENTRY'!$AL$4:$AL$1200,"Yes Stage 0")</f>
        <v>0</v>
      </c>
      <c r="D195" s="91">
        <f>COUNTIFS('SERVICE ENTRY'!$C$4:$C$1200,'County Report'!A195,'SERVICE ENTRY'!$AG$4:$AG$1200,"Yes Stage I")+COUNTIFS('SERVICE ENTRY'!$C$4:$C$1200,'County Report'!A195,'SERVICE ENTRY'!$AL$4:$AL$1200,"Yes Stage I")</f>
        <v>0</v>
      </c>
      <c r="E195" s="91">
        <f>COUNTIFS('SERVICE ENTRY'!$C$4:$C$1200,'County Report'!A195,'SERVICE ENTRY'!$AG$4:$AG$1200,"Yes Stage III")+COUNTIFS('SERVICE ENTRY'!$C$4:$C$1200,'County Report'!A195,'SERVICE ENTRY'!$AL$4:$AL$1200,"Yes Stage III")</f>
        <v>0</v>
      </c>
      <c r="F195" s="91">
        <f>COUNTIFS('SERVICE ENTRY'!$C$4:$C$1200,'County Report'!A195,'SERVICE ENTRY'!$AG$4:$AG$1200,"Yes Stage III")+COUNTIFS('SERVICE ENTRY'!$C$4:$C$1200,'County Report'!A195,'SERVICE ENTRY'!$AL$4:$AL$1200,"Yes Stage III")</f>
        <v>0</v>
      </c>
      <c r="G195" s="91">
        <f>COUNTIFS('SERVICE ENTRY'!$C$4:$C$1200,'County Report'!A195,'SERVICE ENTRY'!$AG$4:$AG$1200,"Yes Stage IV")+COUNTIFS('SERVICE ENTRY'!$C$4:$C$1200,'County Report'!A195,'SERVICE ENTRY'!$AL$4:$AL$1200,"Yes Stage IV")</f>
        <v>0</v>
      </c>
      <c r="H195" s="91">
        <f>COUNTIFS('SERVICE ENTRY'!$C$4:$C$1200,'County Report'!A195,'SERVICE ENTRY'!$AG$4:$AG$1200,"Yes Stage Unknown")+COUNTIFS('SERVICE ENTRY'!$C$4:$C$1200,'County Report'!A195,'SERVICE ENTRY'!$AL$4:$AL$1200,"Yes Stage Unknown")</f>
        <v>0</v>
      </c>
      <c r="I195" s="186"/>
      <c r="K195" s="242"/>
    </row>
    <row r="196" spans="1:11" x14ac:dyDescent="0.25">
      <c r="A196" s="167" t="s">
        <v>679</v>
      </c>
      <c r="B196" s="126">
        <f>SUM(COUNTIFS('SERVICE ENTRY'!$AG$4:$AG$1200,{"Yes Stage 0","Yes Stage I","Yes Stage II","Yes Stage III","Yes Stage IV","Yes Stage Unknown"},'SERVICE ENTRY'!$C$4:$C$1200,'County Report'!A196))+SUM(COUNTIFS('SERVICE ENTRY'!$AL$4:$AL$1200,{"Yes Stage 0","Yes Stage I","Yes Stage II","Yes Stage III","Yes Stage IV","Yes Stage Unknown"},'SERVICE ENTRY'!$C$4:$C$1200,'County Report'!A196))</f>
        <v>0</v>
      </c>
      <c r="C196" s="124">
        <f>COUNTIFS('SERVICE ENTRY'!$C$4:$C$1200,'County Report'!A196,'SERVICE ENTRY'!$AG$4:$AG$1200,"Yes Stage 0")+COUNTIFS('SERVICE ENTRY'!$C$4:$C$1200,'County Report'!A196,'SERVICE ENTRY'!$AL$4:$AL$1200,"Yes Stage 0")</f>
        <v>0</v>
      </c>
      <c r="D196" s="91">
        <f>COUNTIFS('SERVICE ENTRY'!$C$4:$C$1200,'County Report'!A196,'SERVICE ENTRY'!$AG$4:$AG$1200,"Yes Stage I")+COUNTIFS('SERVICE ENTRY'!$C$4:$C$1200,'County Report'!A196,'SERVICE ENTRY'!$AL$4:$AL$1200,"Yes Stage I")</f>
        <v>0</v>
      </c>
      <c r="E196" s="91">
        <f>COUNTIFS('SERVICE ENTRY'!$C$4:$C$1200,'County Report'!A196,'SERVICE ENTRY'!$AG$4:$AG$1200,"Yes Stage III")+COUNTIFS('SERVICE ENTRY'!$C$4:$C$1200,'County Report'!A196,'SERVICE ENTRY'!$AL$4:$AL$1200,"Yes Stage III")</f>
        <v>0</v>
      </c>
      <c r="F196" s="91">
        <f>COUNTIFS('SERVICE ENTRY'!$C$4:$C$1200,'County Report'!A196,'SERVICE ENTRY'!$AG$4:$AG$1200,"Yes Stage III")+COUNTIFS('SERVICE ENTRY'!$C$4:$C$1200,'County Report'!A196,'SERVICE ENTRY'!$AL$4:$AL$1200,"Yes Stage III")</f>
        <v>0</v>
      </c>
      <c r="G196" s="91">
        <f>COUNTIFS('SERVICE ENTRY'!$C$4:$C$1200,'County Report'!A196,'SERVICE ENTRY'!$AG$4:$AG$1200,"Yes Stage IV")+COUNTIFS('SERVICE ENTRY'!$C$4:$C$1200,'County Report'!A196,'SERVICE ENTRY'!$AL$4:$AL$1200,"Yes Stage IV")</f>
        <v>0</v>
      </c>
      <c r="H196" s="91">
        <f>COUNTIFS('SERVICE ENTRY'!$C$4:$C$1200,'County Report'!A196,'SERVICE ENTRY'!$AG$4:$AG$1200,"Yes Stage Unknown")+COUNTIFS('SERVICE ENTRY'!$C$4:$C$1200,'County Report'!A196,'SERVICE ENTRY'!$AL$4:$AL$1200,"Yes Stage Unknown")</f>
        <v>0</v>
      </c>
      <c r="I196" s="186"/>
      <c r="K196" s="242"/>
    </row>
    <row r="197" spans="1:11" x14ac:dyDescent="0.25">
      <c r="A197" s="167" t="s">
        <v>680</v>
      </c>
      <c r="B197" s="126">
        <f>SUM(COUNTIFS('SERVICE ENTRY'!$AG$4:$AG$1200,{"Yes Stage 0","Yes Stage I","Yes Stage II","Yes Stage III","Yes Stage IV","Yes Stage Unknown"},'SERVICE ENTRY'!$C$4:$C$1200,'County Report'!A197))+SUM(COUNTIFS('SERVICE ENTRY'!$AL$4:$AL$1200,{"Yes Stage 0","Yes Stage I","Yes Stage II","Yes Stage III","Yes Stage IV","Yes Stage Unknown"},'SERVICE ENTRY'!$C$4:$C$1200,'County Report'!A197))</f>
        <v>0</v>
      </c>
      <c r="C197" s="124">
        <f>COUNTIFS('SERVICE ENTRY'!$C$4:$C$1200,'County Report'!A197,'SERVICE ENTRY'!$AG$4:$AG$1200,"Yes Stage 0")+COUNTIFS('SERVICE ENTRY'!$C$4:$C$1200,'County Report'!A197,'SERVICE ENTRY'!$AL$4:$AL$1200,"Yes Stage 0")</f>
        <v>0</v>
      </c>
      <c r="D197" s="91">
        <f>COUNTIFS('SERVICE ENTRY'!$C$4:$C$1200,'County Report'!A197,'SERVICE ENTRY'!$AG$4:$AG$1200,"Yes Stage I")+COUNTIFS('SERVICE ENTRY'!$C$4:$C$1200,'County Report'!A197,'SERVICE ENTRY'!$AL$4:$AL$1200,"Yes Stage I")</f>
        <v>0</v>
      </c>
      <c r="E197" s="91">
        <f>COUNTIFS('SERVICE ENTRY'!$C$4:$C$1200,'County Report'!A197,'SERVICE ENTRY'!$AG$4:$AG$1200,"Yes Stage III")+COUNTIFS('SERVICE ENTRY'!$C$4:$C$1200,'County Report'!A197,'SERVICE ENTRY'!$AL$4:$AL$1200,"Yes Stage III")</f>
        <v>0</v>
      </c>
      <c r="F197" s="91">
        <f>COUNTIFS('SERVICE ENTRY'!$C$4:$C$1200,'County Report'!A197,'SERVICE ENTRY'!$AG$4:$AG$1200,"Yes Stage III")+COUNTIFS('SERVICE ENTRY'!$C$4:$C$1200,'County Report'!A197,'SERVICE ENTRY'!$AL$4:$AL$1200,"Yes Stage III")</f>
        <v>0</v>
      </c>
      <c r="G197" s="91">
        <f>COUNTIFS('SERVICE ENTRY'!$C$4:$C$1200,'County Report'!A197,'SERVICE ENTRY'!$AG$4:$AG$1200,"Yes Stage IV")+COUNTIFS('SERVICE ENTRY'!$C$4:$C$1200,'County Report'!A197,'SERVICE ENTRY'!$AL$4:$AL$1200,"Yes Stage IV")</f>
        <v>0</v>
      </c>
      <c r="H197" s="91">
        <f>COUNTIFS('SERVICE ENTRY'!$C$4:$C$1200,'County Report'!A197,'SERVICE ENTRY'!$AG$4:$AG$1200,"Yes Stage Unknown")+COUNTIFS('SERVICE ENTRY'!$C$4:$C$1200,'County Report'!A197,'SERVICE ENTRY'!$AL$4:$AL$1200,"Yes Stage Unknown")</f>
        <v>0</v>
      </c>
      <c r="I197" s="186"/>
      <c r="K197" s="242"/>
    </row>
    <row r="198" spans="1:11" x14ac:dyDescent="0.25">
      <c r="A198" s="167" t="s">
        <v>681</v>
      </c>
      <c r="B198" s="126">
        <f>SUM(COUNTIFS('SERVICE ENTRY'!$AG$4:$AG$1200,{"Yes Stage 0","Yes Stage I","Yes Stage II","Yes Stage III","Yes Stage IV","Yes Stage Unknown"},'SERVICE ENTRY'!$C$4:$C$1200,'County Report'!A198))+SUM(COUNTIFS('SERVICE ENTRY'!$AL$4:$AL$1200,{"Yes Stage 0","Yes Stage I","Yes Stage II","Yes Stage III","Yes Stage IV","Yes Stage Unknown"},'SERVICE ENTRY'!$C$4:$C$1200,'County Report'!A198))</f>
        <v>0</v>
      </c>
      <c r="C198" s="124">
        <f>COUNTIFS('SERVICE ENTRY'!$C$4:$C$1200,'County Report'!A198,'SERVICE ENTRY'!$AG$4:$AG$1200,"Yes Stage 0")+COUNTIFS('SERVICE ENTRY'!$C$4:$C$1200,'County Report'!A198,'SERVICE ENTRY'!$AL$4:$AL$1200,"Yes Stage 0")</f>
        <v>0</v>
      </c>
      <c r="D198" s="91">
        <f>COUNTIFS('SERVICE ENTRY'!$C$4:$C$1200,'County Report'!A198,'SERVICE ENTRY'!$AG$4:$AG$1200,"Yes Stage I")+COUNTIFS('SERVICE ENTRY'!$C$4:$C$1200,'County Report'!A198,'SERVICE ENTRY'!$AL$4:$AL$1200,"Yes Stage I")</f>
        <v>0</v>
      </c>
      <c r="E198" s="91">
        <f>COUNTIFS('SERVICE ENTRY'!$C$4:$C$1200,'County Report'!A198,'SERVICE ENTRY'!$AG$4:$AG$1200,"Yes Stage III")+COUNTIFS('SERVICE ENTRY'!$C$4:$C$1200,'County Report'!A198,'SERVICE ENTRY'!$AL$4:$AL$1200,"Yes Stage III")</f>
        <v>0</v>
      </c>
      <c r="F198" s="91">
        <f>COUNTIFS('SERVICE ENTRY'!$C$4:$C$1200,'County Report'!A198,'SERVICE ENTRY'!$AG$4:$AG$1200,"Yes Stage III")+COUNTIFS('SERVICE ENTRY'!$C$4:$C$1200,'County Report'!A198,'SERVICE ENTRY'!$AL$4:$AL$1200,"Yes Stage III")</f>
        <v>0</v>
      </c>
      <c r="G198" s="91">
        <f>COUNTIFS('SERVICE ENTRY'!$C$4:$C$1200,'County Report'!A198,'SERVICE ENTRY'!$AG$4:$AG$1200,"Yes Stage IV")+COUNTIFS('SERVICE ENTRY'!$C$4:$C$1200,'County Report'!A198,'SERVICE ENTRY'!$AL$4:$AL$1200,"Yes Stage IV")</f>
        <v>0</v>
      </c>
      <c r="H198" s="91">
        <f>COUNTIFS('SERVICE ENTRY'!$C$4:$C$1200,'County Report'!A198,'SERVICE ENTRY'!$AG$4:$AG$1200,"Yes Stage Unknown")+COUNTIFS('SERVICE ENTRY'!$C$4:$C$1200,'County Report'!A198,'SERVICE ENTRY'!$AL$4:$AL$1200,"Yes Stage Unknown")</f>
        <v>0</v>
      </c>
      <c r="I198" s="186"/>
      <c r="K198" s="242"/>
    </row>
    <row r="199" spans="1:11" x14ac:dyDescent="0.25">
      <c r="A199" s="167" t="s">
        <v>682</v>
      </c>
      <c r="B199" s="126">
        <f>SUM(COUNTIFS('SERVICE ENTRY'!$AG$4:$AG$1200,{"Yes Stage 0","Yes Stage I","Yes Stage II","Yes Stage III","Yes Stage IV","Yes Stage Unknown"},'SERVICE ENTRY'!$C$4:$C$1200,'County Report'!A199))+SUM(COUNTIFS('SERVICE ENTRY'!$AL$4:$AL$1200,{"Yes Stage 0","Yes Stage I","Yes Stage II","Yes Stage III","Yes Stage IV","Yes Stage Unknown"},'SERVICE ENTRY'!$C$4:$C$1200,'County Report'!A199))</f>
        <v>0</v>
      </c>
      <c r="C199" s="124">
        <f>COUNTIFS('SERVICE ENTRY'!$C$4:$C$1200,'County Report'!A199,'SERVICE ENTRY'!$AG$4:$AG$1200,"Yes Stage 0")+COUNTIFS('SERVICE ENTRY'!$C$4:$C$1200,'County Report'!A199,'SERVICE ENTRY'!$AL$4:$AL$1200,"Yes Stage 0")</f>
        <v>0</v>
      </c>
      <c r="D199" s="91">
        <f>COUNTIFS('SERVICE ENTRY'!$C$4:$C$1200,'County Report'!A199,'SERVICE ENTRY'!$AG$4:$AG$1200,"Yes Stage I")+COUNTIFS('SERVICE ENTRY'!$C$4:$C$1200,'County Report'!A199,'SERVICE ENTRY'!$AL$4:$AL$1200,"Yes Stage I")</f>
        <v>0</v>
      </c>
      <c r="E199" s="91">
        <f>COUNTIFS('SERVICE ENTRY'!$C$4:$C$1200,'County Report'!A199,'SERVICE ENTRY'!$AG$4:$AG$1200,"Yes Stage III")+COUNTIFS('SERVICE ENTRY'!$C$4:$C$1200,'County Report'!A199,'SERVICE ENTRY'!$AL$4:$AL$1200,"Yes Stage III")</f>
        <v>0</v>
      </c>
      <c r="F199" s="91">
        <f>COUNTIFS('SERVICE ENTRY'!$C$4:$C$1200,'County Report'!A199,'SERVICE ENTRY'!$AG$4:$AG$1200,"Yes Stage III")+COUNTIFS('SERVICE ENTRY'!$C$4:$C$1200,'County Report'!A199,'SERVICE ENTRY'!$AL$4:$AL$1200,"Yes Stage III")</f>
        <v>0</v>
      </c>
      <c r="G199" s="91">
        <f>COUNTIFS('SERVICE ENTRY'!$C$4:$C$1200,'County Report'!A199,'SERVICE ENTRY'!$AG$4:$AG$1200,"Yes Stage IV")+COUNTIFS('SERVICE ENTRY'!$C$4:$C$1200,'County Report'!A199,'SERVICE ENTRY'!$AL$4:$AL$1200,"Yes Stage IV")</f>
        <v>0</v>
      </c>
      <c r="H199" s="91">
        <f>COUNTIFS('SERVICE ENTRY'!$C$4:$C$1200,'County Report'!A199,'SERVICE ENTRY'!$AG$4:$AG$1200,"Yes Stage Unknown")+COUNTIFS('SERVICE ENTRY'!$C$4:$C$1200,'County Report'!A199,'SERVICE ENTRY'!$AL$4:$AL$1200,"Yes Stage Unknown")</f>
        <v>0</v>
      </c>
      <c r="I199" s="186"/>
      <c r="K199" s="242"/>
    </row>
    <row r="200" spans="1:11" x14ac:dyDescent="0.25">
      <c r="A200" s="167" t="s">
        <v>683</v>
      </c>
      <c r="B200" s="126">
        <f>SUM(COUNTIFS('SERVICE ENTRY'!$AG$4:$AG$1200,{"Yes Stage 0","Yes Stage I","Yes Stage II","Yes Stage III","Yes Stage IV","Yes Stage Unknown"},'SERVICE ENTRY'!$C$4:$C$1200,'County Report'!A200))+SUM(COUNTIFS('SERVICE ENTRY'!$AL$4:$AL$1200,{"Yes Stage 0","Yes Stage I","Yes Stage II","Yes Stage III","Yes Stage IV","Yes Stage Unknown"},'SERVICE ENTRY'!$C$4:$C$1200,'County Report'!A200))</f>
        <v>0</v>
      </c>
      <c r="C200" s="124">
        <f>COUNTIFS('SERVICE ENTRY'!$C$4:$C$1200,'County Report'!A200,'SERVICE ENTRY'!$AG$4:$AG$1200,"Yes Stage 0")+COUNTIFS('SERVICE ENTRY'!$C$4:$C$1200,'County Report'!A200,'SERVICE ENTRY'!$AL$4:$AL$1200,"Yes Stage 0")</f>
        <v>0</v>
      </c>
      <c r="D200" s="91">
        <f>COUNTIFS('SERVICE ENTRY'!$C$4:$C$1200,'County Report'!A200,'SERVICE ENTRY'!$AG$4:$AG$1200,"Yes Stage I")+COUNTIFS('SERVICE ENTRY'!$C$4:$C$1200,'County Report'!A200,'SERVICE ENTRY'!$AL$4:$AL$1200,"Yes Stage I")</f>
        <v>0</v>
      </c>
      <c r="E200" s="91">
        <f>COUNTIFS('SERVICE ENTRY'!$C$4:$C$1200,'County Report'!A200,'SERVICE ENTRY'!$AG$4:$AG$1200,"Yes Stage III")+COUNTIFS('SERVICE ENTRY'!$C$4:$C$1200,'County Report'!A200,'SERVICE ENTRY'!$AL$4:$AL$1200,"Yes Stage III")</f>
        <v>0</v>
      </c>
      <c r="F200" s="91">
        <f>COUNTIFS('SERVICE ENTRY'!$C$4:$C$1200,'County Report'!A200,'SERVICE ENTRY'!$AG$4:$AG$1200,"Yes Stage III")+COUNTIFS('SERVICE ENTRY'!$C$4:$C$1200,'County Report'!A200,'SERVICE ENTRY'!$AL$4:$AL$1200,"Yes Stage III")</f>
        <v>0</v>
      </c>
      <c r="G200" s="91">
        <f>COUNTIFS('SERVICE ENTRY'!$C$4:$C$1200,'County Report'!A200,'SERVICE ENTRY'!$AG$4:$AG$1200,"Yes Stage IV")+COUNTIFS('SERVICE ENTRY'!$C$4:$C$1200,'County Report'!A200,'SERVICE ENTRY'!$AL$4:$AL$1200,"Yes Stage IV")</f>
        <v>0</v>
      </c>
      <c r="H200" s="91">
        <f>COUNTIFS('SERVICE ENTRY'!$C$4:$C$1200,'County Report'!A200,'SERVICE ENTRY'!$AG$4:$AG$1200,"Yes Stage Unknown")+COUNTIFS('SERVICE ENTRY'!$C$4:$C$1200,'County Report'!A200,'SERVICE ENTRY'!$AL$4:$AL$1200,"Yes Stage Unknown")</f>
        <v>0</v>
      </c>
      <c r="I200" s="186"/>
      <c r="K200" s="242"/>
    </row>
    <row r="201" spans="1:11" x14ac:dyDescent="0.25">
      <c r="A201" s="167" t="s">
        <v>684</v>
      </c>
      <c r="B201" s="126">
        <f>SUM(COUNTIFS('SERVICE ENTRY'!$AG$4:$AG$1200,{"Yes Stage 0","Yes Stage I","Yes Stage II","Yes Stage III","Yes Stage IV","Yes Stage Unknown"},'SERVICE ENTRY'!$C$4:$C$1200,'County Report'!A201))+SUM(COUNTIFS('SERVICE ENTRY'!$AL$4:$AL$1200,{"Yes Stage 0","Yes Stage I","Yes Stage II","Yes Stage III","Yes Stage IV","Yes Stage Unknown"},'SERVICE ENTRY'!$C$4:$C$1200,'County Report'!A201))</f>
        <v>0</v>
      </c>
      <c r="C201" s="124">
        <f>COUNTIFS('SERVICE ENTRY'!$C$4:$C$1200,'County Report'!A201,'SERVICE ENTRY'!$AG$4:$AG$1200,"Yes Stage 0")+COUNTIFS('SERVICE ENTRY'!$C$4:$C$1200,'County Report'!A201,'SERVICE ENTRY'!$AL$4:$AL$1200,"Yes Stage 0")</f>
        <v>0</v>
      </c>
      <c r="D201" s="91">
        <f>COUNTIFS('SERVICE ENTRY'!$C$4:$C$1200,'County Report'!A201,'SERVICE ENTRY'!$AG$4:$AG$1200,"Yes Stage I")+COUNTIFS('SERVICE ENTRY'!$C$4:$C$1200,'County Report'!A201,'SERVICE ENTRY'!$AL$4:$AL$1200,"Yes Stage I")</f>
        <v>0</v>
      </c>
      <c r="E201" s="91">
        <f>COUNTIFS('SERVICE ENTRY'!$C$4:$C$1200,'County Report'!A201,'SERVICE ENTRY'!$AG$4:$AG$1200,"Yes Stage III")+COUNTIFS('SERVICE ENTRY'!$C$4:$C$1200,'County Report'!A201,'SERVICE ENTRY'!$AL$4:$AL$1200,"Yes Stage III")</f>
        <v>0</v>
      </c>
      <c r="F201" s="91">
        <f>COUNTIFS('SERVICE ENTRY'!$C$4:$C$1200,'County Report'!A201,'SERVICE ENTRY'!$AG$4:$AG$1200,"Yes Stage III")+COUNTIFS('SERVICE ENTRY'!$C$4:$C$1200,'County Report'!A201,'SERVICE ENTRY'!$AL$4:$AL$1200,"Yes Stage III")</f>
        <v>0</v>
      </c>
      <c r="G201" s="91">
        <f>COUNTIFS('SERVICE ENTRY'!$C$4:$C$1200,'County Report'!A201,'SERVICE ENTRY'!$AG$4:$AG$1200,"Yes Stage IV")+COUNTIFS('SERVICE ENTRY'!$C$4:$C$1200,'County Report'!A201,'SERVICE ENTRY'!$AL$4:$AL$1200,"Yes Stage IV")</f>
        <v>0</v>
      </c>
      <c r="H201" s="91">
        <f>COUNTIFS('SERVICE ENTRY'!$C$4:$C$1200,'County Report'!A201,'SERVICE ENTRY'!$AG$4:$AG$1200,"Yes Stage Unknown")+COUNTIFS('SERVICE ENTRY'!$C$4:$C$1200,'County Report'!A201,'SERVICE ENTRY'!$AL$4:$AL$1200,"Yes Stage Unknown")</f>
        <v>0</v>
      </c>
      <c r="I201" s="186"/>
      <c r="K201" s="242"/>
    </row>
    <row r="202" spans="1:11" x14ac:dyDescent="0.25">
      <c r="A202" s="167" t="s">
        <v>685</v>
      </c>
      <c r="B202" s="126">
        <f>SUM(COUNTIFS('SERVICE ENTRY'!$AG$4:$AG$1200,{"Yes Stage 0","Yes Stage I","Yes Stage II","Yes Stage III","Yes Stage IV","Yes Stage Unknown"},'SERVICE ENTRY'!$C$4:$C$1200,'County Report'!A202))+SUM(COUNTIFS('SERVICE ENTRY'!$AL$4:$AL$1200,{"Yes Stage 0","Yes Stage I","Yes Stage II","Yes Stage III","Yes Stage IV","Yes Stage Unknown"},'SERVICE ENTRY'!$C$4:$C$1200,'County Report'!A202))</f>
        <v>0</v>
      </c>
      <c r="C202" s="124">
        <f>COUNTIFS('SERVICE ENTRY'!$C$4:$C$1200,'County Report'!A202,'SERVICE ENTRY'!$AG$4:$AG$1200,"Yes Stage 0")+COUNTIFS('SERVICE ENTRY'!$C$4:$C$1200,'County Report'!A202,'SERVICE ENTRY'!$AL$4:$AL$1200,"Yes Stage 0")</f>
        <v>0</v>
      </c>
      <c r="D202" s="91">
        <f>COUNTIFS('SERVICE ENTRY'!$C$4:$C$1200,'County Report'!A202,'SERVICE ENTRY'!$AG$4:$AG$1200,"Yes Stage I")+COUNTIFS('SERVICE ENTRY'!$C$4:$C$1200,'County Report'!A202,'SERVICE ENTRY'!$AL$4:$AL$1200,"Yes Stage I")</f>
        <v>0</v>
      </c>
      <c r="E202" s="91">
        <f>COUNTIFS('SERVICE ENTRY'!$C$4:$C$1200,'County Report'!A202,'SERVICE ENTRY'!$AG$4:$AG$1200,"Yes Stage III")+COUNTIFS('SERVICE ENTRY'!$C$4:$C$1200,'County Report'!A202,'SERVICE ENTRY'!$AL$4:$AL$1200,"Yes Stage III")</f>
        <v>0</v>
      </c>
      <c r="F202" s="91">
        <f>COUNTIFS('SERVICE ENTRY'!$C$4:$C$1200,'County Report'!A202,'SERVICE ENTRY'!$AG$4:$AG$1200,"Yes Stage III")+COUNTIFS('SERVICE ENTRY'!$C$4:$C$1200,'County Report'!A202,'SERVICE ENTRY'!$AL$4:$AL$1200,"Yes Stage III")</f>
        <v>0</v>
      </c>
      <c r="G202" s="91">
        <f>COUNTIFS('SERVICE ENTRY'!$C$4:$C$1200,'County Report'!A202,'SERVICE ENTRY'!$AG$4:$AG$1200,"Yes Stage IV")+COUNTIFS('SERVICE ENTRY'!$C$4:$C$1200,'County Report'!A202,'SERVICE ENTRY'!$AL$4:$AL$1200,"Yes Stage IV")</f>
        <v>0</v>
      </c>
      <c r="H202" s="91">
        <f>COUNTIFS('SERVICE ENTRY'!$C$4:$C$1200,'County Report'!A202,'SERVICE ENTRY'!$AG$4:$AG$1200,"Yes Stage Unknown")+COUNTIFS('SERVICE ENTRY'!$C$4:$C$1200,'County Report'!A202,'SERVICE ENTRY'!$AL$4:$AL$1200,"Yes Stage Unknown")</f>
        <v>0</v>
      </c>
      <c r="I202" s="186"/>
      <c r="K202" s="242"/>
    </row>
    <row r="203" spans="1:11" ht="15.75" thickBot="1" x14ac:dyDescent="0.3">
      <c r="A203" s="167" t="s">
        <v>686</v>
      </c>
      <c r="B203" s="126">
        <f>SUM(COUNTIFS('SERVICE ENTRY'!$AG$4:$AG$1200,{"Yes Stage 0","Yes Stage I","Yes Stage II","Yes Stage III","Yes Stage IV","Yes Stage Unknown"},'SERVICE ENTRY'!$C$4:$C$1200,'County Report'!A203))+SUM(COUNTIFS('SERVICE ENTRY'!$AL$4:$AL$1200,{"Yes Stage 0","Yes Stage I","Yes Stage II","Yes Stage III","Yes Stage IV","Yes Stage Unknown"},'SERVICE ENTRY'!$C$4:$C$1200,'County Report'!A203))</f>
        <v>0</v>
      </c>
      <c r="C203" s="275">
        <f>COUNTIFS('SERVICE ENTRY'!$C$4:$C$1200,'County Report'!A203,'SERVICE ENTRY'!$AG$4:$AG$1200,"Yes Stage 0")+COUNTIFS('SERVICE ENTRY'!$C$4:$C$1200,'County Report'!A203,'SERVICE ENTRY'!$AL$4:$AL$1200,"Yes Stage 0")</f>
        <v>0</v>
      </c>
      <c r="D203" s="244">
        <f>COUNTIFS('SERVICE ENTRY'!$C$4:$C$1200,'County Report'!A203,'SERVICE ENTRY'!$AG$4:$AG$1200,"Yes Stage I")+COUNTIFS('SERVICE ENTRY'!$C$4:$C$1200,'County Report'!A203,'SERVICE ENTRY'!$AL$4:$AL$1200,"Yes Stage I")</f>
        <v>0</v>
      </c>
      <c r="E203" s="244">
        <f>COUNTIFS('SERVICE ENTRY'!$C$4:$C$1200,'County Report'!A203,'SERVICE ENTRY'!$AG$4:$AG$1200,"Yes Stage III")+COUNTIFS('SERVICE ENTRY'!$C$4:$C$1200,'County Report'!A203,'SERVICE ENTRY'!$AL$4:$AL$1200,"Yes Stage III")</f>
        <v>0</v>
      </c>
      <c r="F203" s="244">
        <f>COUNTIFS('SERVICE ENTRY'!$C$4:$C$1200,'County Report'!A203,'SERVICE ENTRY'!$AG$4:$AG$1200,"Yes Stage III")+COUNTIFS('SERVICE ENTRY'!$C$4:$C$1200,'County Report'!A203,'SERVICE ENTRY'!$AL$4:$AL$1200,"Yes Stage III")</f>
        <v>0</v>
      </c>
      <c r="G203" s="244">
        <f>COUNTIFS('SERVICE ENTRY'!$C$4:$C$1200,'County Report'!A203,'SERVICE ENTRY'!$AG$4:$AG$1200,"Yes Stage IV")+COUNTIFS('SERVICE ENTRY'!$C$4:$C$1200,'County Report'!A203,'SERVICE ENTRY'!$AL$4:$AL$1200,"Yes Stage IV")</f>
        <v>0</v>
      </c>
      <c r="H203" s="244">
        <f>COUNTIFS('SERVICE ENTRY'!$C$4:$C$1200,'County Report'!A203,'SERVICE ENTRY'!$AG$4:$AG$1200,"Yes Stage Unknown")+COUNTIFS('SERVICE ENTRY'!$C$4:$C$1200,'County Report'!A203,'SERVICE ENTRY'!$AL$4:$AL$1200,"Yes Stage Unknown")</f>
        <v>0</v>
      </c>
      <c r="I203" s="186"/>
      <c r="K203" s="242"/>
    </row>
    <row r="204" spans="1:11" ht="15.75" thickBot="1" x14ac:dyDescent="0.3">
      <c r="A204" s="346" t="s">
        <v>328</v>
      </c>
      <c r="B204" s="348">
        <f>SUM(B140:B203)</f>
        <v>0</v>
      </c>
      <c r="C204" s="246">
        <f>SUM(C140:C203)</f>
        <v>0</v>
      </c>
      <c r="D204" s="278">
        <f t="shared" ref="D204:H204" si="2">SUM(D140:D203)</f>
        <v>0</v>
      </c>
      <c r="E204" s="278">
        <f t="shared" si="2"/>
        <v>0</v>
      </c>
      <c r="F204" s="278">
        <f t="shared" si="2"/>
        <v>0</v>
      </c>
      <c r="G204" s="278">
        <f t="shared" si="2"/>
        <v>0</v>
      </c>
      <c r="H204" s="279">
        <f t="shared" si="2"/>
        <v>0</v>
      </c>
      <c r="I204" s="242"/>
      <c r="K204" s="242"/>
    </row>
    <row r="205" spans="1:11" ht="28.5" customHeight="1" thickBot="1" x14ac:dyDescent="0.3">
      <c r="A205" s="347"/>
      <c r="B205" s="349"/>
      <c r="C205" s="350">
        <f>SUM(C204:H204)</f>
        <v>0</v>
      </c>
      <c r="D205" s="351"/>
      <c r="E205" s="351"/>
      <c r="F205" s="351"/>
      <c r="G205" s="351"/>
      <c r="H205" s="352"/>
      <c r="K205" s="242"/>
    </row>
    <row r="206" spans="1:11" x14ac:dyDescent="0.25">
      <c r="K206" s="242"/>
    </row>
    <row r="207" spans="1:11" x14ac:dyDescent="0.25">
      <c r="K207" s="242"/>
    </row>
    <row r="208" spans="1:11" x14ac:dyDescent="0.25">
      <c r="K208" s="242"/>
    </row>
    <row r="209" spans="11:11" x14ac:dyDescent="0.25">
      <c r="K209" s="242"/>
    </row>
    <row r="210" spans="11:11" x14ac:dyDescent="0.25">
      <c r="K210" s="242"/>
    </row>
    <row r="211" spans="11:11" x14ac:dyDescent="0.25">
      <c r="K211" s="242"/>
    </row>
    <row r="212" spans="11:11" x14ac:dyDescent="0.25">
      <c r="K212" s="242"/>
    </row>
    <row r="213" spans="11:11" x14ac:dyDescent="0.25">
      <c r="K213" s="242"/>
    </row>
    <row r="214" spans="11:11" x14ac:dyDescent="0.25">
      <c r="K214" s="242"/>
    </row>
    <row r="215" spans="11:11" x14ac:dyDescent="0.25">
      <c r="K215" s="242"/>
    </row>
    <row r="216" spans="11:11" x14ac:dyDescent="0.25">
      <c r="K216" s="242"/>
    </row>
    <row r="217" spans="11:11" x14ac:dyDescent="0.25">
      <c r="K217" s="242"/>
    </row>
    <row r="218" spans="11:11" x14ac:dyDescent="0.25">
      <c r="K218" s="242"/>
    </row>
    <row r="219" spans="11:11" x14ac:dyDescent="0.25">
      <c r="K219" s="242"/>
    </row>
    <row r="220" spans="11:11" x14ac:dyDescent="0.25">
      <c r="K220" s="242"/>
    </row>
    <row r="221" spans="11:11" x14ac:dyDescent="0.25">
      <c r="K221" s="242"/>
    </row>
    <row r="222" spans="11:11" x14ac:dyDescent="0.25">
      <c r="K222" s="242"/>
    </row>
    <row r="223" spans="11:11" x14ac:dyDescent="0.25">
      <c r="K223" s="242"/>
    </row>
    <row r="224" spans="11:11" x14ac:dyDescent="0.25">
      <c r="K224" s="242"/>
    </row>
    <row r="225" spans="11:11" x14ac:dyDescent="0.25">
      <c r="K225" s="242"/>
    </row>
    <row r="226" spans="11:11" x14ac:dyDescent="0.25">
      <c r="K226" s="242"/>
    </row>
    <row r="227" spans="11:11" x14ac:dyDescent="0.25">
      <c r="K227" s="242"/>
    </row>
    <row r="228" spans="11:11" x14ac:dyDescent="0.25">
      <c r="K228" s="242"/>
    </row>
    <row r="229" spans="11:11" x14ac:dyDescent="0.25">
      <c r="K229" s="242"/>
    </row>
    <row r="230" spans="11:11" x14ac:dyDescent="0.25">
      <c r="K230" s="242"/>
    </row>
    <row r="231" spans="11:11" x14ac:dyDescent="0.25">
      <c r="K231" s="242"/>
    </row>
    <row r="232" spans="11:11" x14ac:dyDescent="0.25">
      <c r="K232" s="242"/>
    </row>
    <row r="233" spans="11:11" x14ac:dyDescent="0.25">
      <c r="K233" s="242"/>
    </row>
    <row r="234" spans="11:11" x14ac:dyDescent="0.25">
      <c r="K234" s="242"/>
    </row>
    <row r="235" spans="11:11" x14ac:dyDescent="0.25">
      <c r="K235" s="242"/>
    </row>
    <row r="236" spans="11:11" x14ac:dyDescent="0.25">
      <c r="K236" s="242"/>
    </row>
    <row r="237" spans="11:11" x14ac:dyDescent="0.25">
      <c r="K237" s="242"/>
    </row>
    <row r="238" spans="11:11" x14ac:dyDescent="0.25">
      <c r="K238" s="242"/>
    </row>
    <row r="239" spans="11:11" x14ac:dyDescent="0.25">
      <c r="K239" s="242"/>
    </row>
    <row r="240" spans="11:11" x14ac:dyDescent="0.25">
      <c r="K240" s="242"/>
    </row>
    <row r="241" spans="11:11" x14ac:dyDescent="0.25">
      <c r="K241" s="242"/>
    </row>
    <row r="242" spans="11:11" x14ac:dyDescent="0.25">
      <c r="K242" s="242"/>
    </row>
    <row r="243" spans="11:11" x14ac:dyDescent="0.25">
      <c r="K243" s="242"/>
    </row>
    <row r="244" spans="11:11" x14ac:dyDescent="0.25">
      <c r="K244" s="242"/>
    </row>
    <row r="245" spans="11:11" x14ac:dyDescent="0.25">
      <c r="K245" s="242"/>
    </row>
    <row r="246" spans="11:11" x14ac:dyDescent="0.25">
      <c r="K246" s="242"/>
    </row>
    <row r="247" spans="11:11" x14ac:dyDescent="0.25">
      <c r="K247" s="242"/>
    </row>
    <row r="248" spans="11:11" x14ac:dyDescent="0.25">
      <c r="K248" s="242"/>
    </row>
    <row r="249" spans="11:11" x14ac:dyDescent="0.25">
      <c r="K249" s="242"/>
    </row>
    <row r="250" spans="11:11" x14ac:dyDescent="0.25">
      <c r="K250" s="242"/>
    </row>
    <row r="251" spans="11:11" x14ac:dyDescent="0.25">
      <c r="K251" s="242"/>
    </row>
    <row r="252" spans="11:11" x14ac:dyDescent="0.25">
      <c r="K252" s="242"/>
    </row>
    <row r="253" spans="11:11" x14ac:dyDescent="0.25">
      <c r="K253" s="242"/>
    </row>
    <row r="254" spans="11:11" x14ac:dyDescent="0.25">
      <c r="K254" s="242"/>
    </row>
    <row r="255" spans="11:11" x14ac:dyDescent="0.25">
      <c r="K255" s="242"/>
    </row>
    <row r="256" spans="11:11" x14ac:dyDescent="0.25">
      <c r="K256" s="242"/>
    </row>
    <row r="257" spans="11:11" x14ac:dyDescent="0.25">
      <c r="K257" s="242"/>
    </row>
    <row r="258" spans="11:11" x14ac:dyDescent="0.25">
      <c r="K258" s="242"/>
    </row>
    <row r="259" spans="11:11" x14ac:dyDescent="0.25">
      <c r="K259" s="242"/>
    </row>
    <row r="260" spans="11:11" x14ac:dyDescent="0.25">
      <c r="K260" s="242"/>
    </row>
    <row r="261" spans="11:11" x14ac:dyDescent="0.25">
      <c r="K261" s="242"/>
    </row>
    <row r="262" spans="11:11" x14ac:dyDescent="0.25">
      <c r="K262" s="242"/>
    </row>
    <row r="263" spans="11:11" x14ac:dyDescent="0.25">
      <c r="K263" s="242"/>
    </row>
    <row r="264" spans="11:11" x14ac:dyDescent="0.25">
      <c r="K264" s="242"/>
    </row>
    <row r="265" spans="11:11" x14ac:dyDescent="0.25">
      <c r="K265" s="242"/>
    </row>
    <row r="266" spans="11:11" x14ac:dyDescent="0.25">
      <c r="K266" s="242"/>
    </row>
    <row r="267" spans="11:11" x14ac:dyDescent="0.25">
      <c r="K267" s="242"/>
    </row>
    <row r="268" spans="11:11" x14ac:dyDescent="0.25">
      <c r="K268" s="242"/>
    </row>
    <row r="269" spans="11:11" x14ac:dyDescent="0.25">
      <c r="K269" s="242"/>
    </row>
    <row r="270" spans="11:11" x14ac:dyDescent="0.25">
      <c r="K270" s="242"/>
    </row>
    <row r="271" spans="11:11" x14ac:dyDescent="0.25">
      <c r="K271" s="242"/>
    </row>
    <row r="272" spans="11:11" x14ac:dyDescent="0.25">
      <c r="K272" s="242"/>
    </row>
    <row r="273" spans="11:11" x14ac:dyDescent="0.25">
      <c r="K273" s="242"/>
    </row>
    <row r="274" spans="11:11" x14ac:dyDescent="0.25">
      <c r="K274" s="242"/>
    </row>
    <row r="275" spans="11:11" x14ac:dyDescent="0.25">
      <c r="K275" s="242"/>
    </row>
    <row r="276" spans="11:11" x14ac:dyDescent="0.25">
      <c r="K276" s="242"/>
    </row>
    <row r="277" spans="11:11" x14ac:dyDescent="0.25">
      <c r="K277" s="242"/>
    </row>
    <row r="278" spans="11:11" x14ac:dyDescent="0.25">
      <c r="K278" s="242"/>
    </row>
    <row r="279" spans="11:11" x14ac:dyDescent="0.25">
      <c r="K279" s="242"/>
    </row>
    <row r="280" spans="11:11" x14ac:dyDescent="0.25">
      <c r="K280" s="242"/>
    </row>
    <row r="281" spans="11:11" x14ac:dyDescent="0.25">
      <c r="K281" s="242"/>
    </row>
    <row r="282" spans="11:11" x14ac:dyDescent="0.25">
      <c r="K282" s="242"/>
    </row>
    <row r="283" spans="11:11" x14ac:dyDescent="0.25">
      <c r="K283" s="242"/>
    </row>
    <row r="284" spans="11:11" x14ac:dyDescent="0.25">
      <c r="K284" s="242"/>
    </row>
    <row r="285" spans="11:11" x14ac:dyDescent="0.25">
      <c r="K285" s="242"/>
    </row>
    <row r="286" spans="11:11" x14ac:dyDescent="0.25">
      <c r="K286" s="242"/>
    </row>
    <row r="287" spans="11:11" x14ac:dyDescent="0.25">
      <c r="K287" s="242"/>
    </row>
    <row r="288" spans="11:11" x14ac:dyDescent="0.25">
      <c r="K288" s="242"/>
    </row>
    <row r="289" spans="11:11" x14ac:dyDescent="0.25">
      <c r="K289" s="242"/>
    </row>
    <row r="290" spans="11:11" x14ac:dyDescent="0.25">
      <c r="K290" s="242"/>
    </row>
    <row r="291" spans="11:11" x14ac:dyDescent="0.25">
      <c r="K291" s="242"/>
    </row>
    <row r="292" spans="11:11" x14ac:dyDescent="0.25">
      <c r="K292" s="242"/>
    </row>
    <row r="293" spans="11:11" x14ac:dyDescent="0.25">
      <c r="K293" s="242"/>
    </row>
    <row r="294" spans="11:11" x14ac:dyDescent="0.25">
      <c r="K294" s="242"/>
    </row>
    <row r="295" spans="11:11" x14ac:dyDescent="0.25">
      <c r="K295" s="242"/>
    </row>
    <row r="296" spans="11:11" x14ac:dyDescent="0.25">
      <c r="K296" s="242"/>
    </row>
    <row r="297" spans="11:11" x14ac:dyDescent="0.25">
      <c r="K297" s="242"/>
    </row>
    <row r="298" spans="11:11" x14ac:dyDescent="0.25">
      <c r="K298" s="242"/>
    </row>
    <row r="299" spans="11:11" x14ac:dyDescent="0.25">
      <c r="K299" s="242"/>
    </row>
    <row r="300" spans="11:11" x14ac:dyDescent="0.25">
      <c r="K300" s="242"/>
    </row>
    <row r="301" spans="11:11" x14ac:dyDescent="0.25">
      <c r="K301" s="242"/>
    </row>
    <row r="302" spans="11:11" x14ac:dyDescent="0.25">
      <c r="K302" s="242"/>
    </row>
    <row r="303" spans="11:11" x14ac:dyDescent="0.25">
      <c r="K303" s="242"/>
    </row>
    <row r="304" spans="11:11" x14ac:dyDescent="0.25">
      <c r="K304" s="242"/>
    </row>
    <row r="305" spans="11:11" x14ac:dyDescent="0.25">
      <c r="K305" s="242"/>
    </row>
    <row r="306" spans="11:11" x14ac:dyDescent="0.25">
      <c r="K306" s="242"/>
    </row>
    <row r="307" spans="11:11" x14ac:dyDescent="0.25">
      <c r="K307" s="242"/>
    </row>
    <row r="308" spans="11:11" x14ac:dyDescent="0.25">
      <c r="K308" s="242"/>
    </row>
    <row r="309" spans="11:11" x14ac:dyDescent="0.25">
      <c r="K309" s="242"/>
    </row>
    <row r="310" spans="11:11" x14ac:dyDescent="0.25">
      <c r="K310" s="242"/>
    </row>
    <row r="311" spans="11:11" x14ac:dyDescent="0.25">
      <c r="K311" s="242"/>
    </row>
    <row r="312" spans="11:11" x14ac:dyDescent="0.25">
      <c r="K312" s="242"/>
    </row>
    <row r="313" spans="11:11" x14ac:dyDescent="0.25">
      <c r="K313" s="242"/>
    </row>
    <row r="314" spans="11:11" x14ac:dyDescent="0.25">
      <c r="K314" s="242"/>
    </row>
    <row r="315" spans="11:11" x14ac:dyDescent="0.25">
      <c r="K315" s="242"/>
    </row>
    <row r="316" spans="11:11" x14ac:dyDescent="0.25">
      <c r="K316" s="242"/>
    </row>
    <row r="317" spans="11:11" x14ac:dyDescent="0.25">
      <c r="K317" s="242"/>
    </row>
    <row r="318" spans="11:11" x14ac:dyDescent="0.25">
      <c r="K318" s="242"/>
    </row>
    <row r="319" spans="11:11" x14ac:dyDescent="0.25">
      <c r="K319" s="242"/>
    </row>
    <row r="320" spans="11:11" x14ac:dyDescent="0.25">
      <c r="K320" s="242"/>
    </row>
    <row r="321" spans="11:11" x14ac:dyDescent="0.25">
      <c r="K321" s="242"/>
    </row>
    <row r="322" spans="11:11" x14ac:dyDescent="0.25">
      <c r="K322" s="242"/>
    </row>
    <row r="323" spans="11:11" x14ac:dyDescent="0.25">
      <c r="K323" s="242"/>
    </row>
    <row r="324" spans="11:11" x14ac:dyDescent="0.25">
      <c r="K324" s="242"/>
    </row>
    <row r="325" spans="11:11" x14ac:dyDescent="0.25">
      <c r="K325" s="242"/>
    </row>
    <row r="326" spans="11:11" x14ac:dyDescent="0.25">
      <c r="K326" s="242"/>
    </row>
    <row r="327" spans="11:11" x14ac:dyDescent="0.25">
      <c r="K327" s="242"/>
    </row>
    <row r="328" spans="11:11" x14ac:dyDescent="0.25">
      <c r="K328" s="242"/>
    </row>
    <row r="329" spans="11:11" x14ac:dyDescent="0.25">
      <c r="K329" s="242"/>
    </row>
    <row r="330" spans="11:11" x14ac:dyDescent="0.25">
      <c r="K330" s="242"/>
    </row>
    <row r="331" spans="11:11" x14ac:dyDescent="0.25">
      <c r="K331" s="242"/>
    </row>
    <row r="332" spans="11:11" x14ac:dyDescent="0.25">
      <c r="K332" s="242"/>
    </row>
    <row r="333" spans="11:11" x14ac:dyDescent="0.25">
      <c r="K333" s="242"/>
    </row>
    <row r="334" spans="11:11" x14ac:dyDescent="0.25">
      <c r="K334" s="242"/>
    </row>
    <row r="335" spans="11:11" x14ac:dyDescent="0.25">
      <c r="K335" s="242"/>
    </row>
    <row r="336" spans="11:11" x14ac:dyDescent="0.25">
      <c r="K336" s="242"/>
    </row>
    <row r="337" spans="11:11" x14ac:dyDescent="0.25">
      <c r="K337" s="242"/>
    </row>
    <row r="338" spans="11:11" x14ac:dyDescent="0.25">
      <c r="K338" s="242"/>
    </row>
    <row r="339" spans="11:11" x14ac:dyDescent="0.25">
      <c r="K339" s="242"/>
    </row>
    <row r="340" spans="11:11" x14ac:dyDescent="0.25">
      <c r="K340" s="242"/>
    </row>
    <row r="341" spans="11:11" x14ac:dyDescent="0.25">
      <c r="K341" s="242"/>
    </row>
    <row r="342" spans="11:11" x14ac:dyDescent="0.25">
      <c r="K342" s="242"/>
    </row>
    <row r="343" spans="11:11" x14ac:dyDescent="0.25">
      <c r="K343" s="242"/>
    </row>
    <row r="344" spans="11:11" x14ac:dyDescent="0.25">
      <c r="K344" s="242"/>
    </row>
    <row r="345" spans="11:11" x14ac:dyDescent="0.25">
      <c r="K345" s="242"/>
    </row>
    <row r="346" spans="11:11" x14ac:dyDescent="0.25">
      <c r="K346" s="242"/>
    </row>
    <row r="347" spans="11:11" x14ac:dyDescent="0.25">
      <c r="K347" s="242"/>
    </row>
    <row r="348" spans="11:11" x14ac:dyDescent="0.25">
      <c r="K348" s="242"/>
    </row>
    <row r="349" spans="11:11" x14ac:dyDescent="0.25">
      <c r="K349" s="242"/>
    </row>
    <row r="350" spans="11:11" x14ac:dyDescent="0.25">
      <c r="K350" s="242"/>
    </row>
    <row r="351" spans="11:11" x14ac:dyDescent="0.25">
      <c r="K351" s="242"/>
    </row>
    <row r="352" spans="11:11" x14ac:dyDescent="0.25">
      <c r="K352" s="242"/>
    </row>
    <row r="353" spans="11:11" x14ac:dyDescent="0.25">
      <c r="K353" s="242"/>
    </row>
    <row r="354" spans="11:11" x14ac:dyDescent="0.25">
      <c r="K354" s="242"/>
    </row>
    <row r="355" spans="11:11" x14ac:dyDescent="0.25">
      <c r="K355" s="242"/>
    </row>
    <row r="356" spans="11:11" x14ac:dyDescent="0.25">
      <c r="K356" s="242"/>
    </row>
    <row r="357" spans="11:11" x14ac:dyDescent="0.25">
      <c r="K357" s="242"/>
    </row>
    <row r="358" spans="11:11" x14ac:dyDescent="0.25">
      <c r="K358" s="242"/>
    </row>
    <row r="359" spans="11:11" x14ac:dyDescent="0.25">
      <c r="K359" s="242"/>
    </row>
    <row r="360" spans="11:11" x14ac:dyDescent="0.25">
      <c r="K360" s="242"/>
    </row>
    <row r="361" spans="11:11" x14ac:dyDescent="0.25">
      <c r="K361" s="242"/>
    </row>
    <row r="362" spans="11:11" x14ac:dyDescent="0.25">
      <c r="K362" s="242"/>
    </row>
    <row r="363" spans="11:11" x14ac:dyDescent="0.25">
      <c r="K363" s="242"/>
    </row>
    <row r="364" spans="11:11" x14ac:dyDescent="0.25">
      <c r="K364" s="242"/>
    </row>
    <row r="365" spans="11:11" x14ac:dyDescent="0.25">
      <c r="K365" s="242"/>
    </row>
    <row r="366" spans="11:11" x14ac:dyDescent="0.25">
      <c r="K366" s="242"/>
    </row>
    <row r="367" spans="11:11" x14ac:dyDescent="0.25">
      <c r="K367" s="242"/>
    </row>
    <row r="368" spans="11:11" x14ac:dyDescent="0.25">
      <c r="K368" s="242"/>
    </row>
    <row r="369" spans="11:11" x14ac:dyDescent="0.25">
      <c r="K369" s="242"/>
    </row>
    <row r="370" spans="11:11" x14ac:dyDescent="0.25">
      <c r="K370" s="242"/>
    </row>
    <row r="371" spans="11:11" x14ac:dyDescent="0.25">
      <c r="K371" s="242"/>
    </row>
    <row r="372" spans="11:11" x14ac:dyDescent="0.25">
      <c r="K372" s="242"/>
    </row>
    <row r="373" spans="11:11" x14ac:dyDescent="0.25">
      <c r="K373" s="242"/>
    </row>
    <row r="374" spans="11:11" x14ac:dyDescent="0.25">
      <c r="K374" s="242"/>
    </row>
    <row r="375" spans="11:11" x14ac:dyDescent="0.25">
      <c r="K375" s="242"/>
    </row>
    <row r="376" spans="11:11" x14ac:dyDescent="0.25">
      <c r="K376" s="242"/>
    </row>
    <row r="377" spans="11:11" x14ac:dyDescent="0.25">
      <c r="K377" s="242"/>
    </row>
    <row r="378" spans="11:11" x14ac:dyDescent="0.25">
      <c r="K378" s="242"/>
    </row>
    <row r="379" spans="11:11" x14ac:dyDescent="0.25">
      <c r="K379" s="242"/>
    </row>
    <row r="380" spans="11:11" x14ac:dyDescent="0.25">
      <c r="K380" s="242"/>
    </row>
    <row r="381" spans="11:11" x14ac:dyDescent="0.25">
      <c r="K381" s="242"/>
    </row>
    <row r="382" spans="11:11" x14ac:dyDescent="0.25">
      <c r="K382" s="242"/>
    </row>
    <row r="383" spans="11:11" x14ac:dyDescent="0.25">
      <c r="K383" s="242"/>
    </row>
    <row r="384" spans="11:11" x14ac:dyDescent="0.25">
      <c r="K384" s="242"/>
    </row>
    <row r="385" spans="11:11" x14ac:dyDescent="0.25">
      <c r="K385" s="242"/>
    </row>
    <row r="386" spans="11:11" x14ac:dyDescent="0.25">
      <c r="K386" s="242"/>
    </row>
    <row r="387" spans="11:11" x14ac:dyDescent="0.25">
      <c r="K387" s="242"/>
    </row>
    <row r="388" spans="11:11" x14ac:dyDescent="0.25">
      <c r="K388" s="242"/>
    </row>
    <row r="389" spans="11:11" x14ac:dyDescent="0.25">
      <c r="K389" s="242"/>
    </row>
    <row r="390" spans="11:11" x14ac:dyDescent="0.25">
      <c r="K390" s="242"/>
    </row>
    <row r="391" spans="11:11" x14ac:dyDescent="0.25">
      <c r="K391" s="242"/>
    </row>
    <row r="392" spans="11:11" x14ac:dyDescent="0.25">
      <c r="K392" s="242"/>
    </row>
    <row r="393" spans="11:11" x14ac:dyDescent="0.25">
      <c r="K393" s="242"/>
    </row>
    <row r="394" spans="11:11" x14ac:dyDescent="0.25">
      <c r="K394" s="242"/>
    </row>
    <row r="395" spans="11:11" x14ac:dyDescent="0.25">
      <c r="K395" s="242"/>
    </row>
    <row r="396" spans="11:11" x14ac:dyDescent="0.25">
      <c r="K396" s="242"/>
    </row>
    <row r="397" spans="11:11" x14ac:dyDescent="0.25">
      <c r="K397" s="242"/>
    </row>
    <row r="398" spans="11:11" x14ac:dyDescent="0.25">
      <c r="K398" s="242"/>
    </row>
    <row r="399" spans="11:11" x14ac:dyDescent="0.25">
      <c r="K399" s="242"/>
    </row>
    <row r="400" spans="11:11" x14ac:dyDescent="0.25">
      <c r="K400" s="242"/>
    </row>
    <row r="401" spans="11:11" x14ac:dyDescent="0.25">
      <c r="K401" s="242"/>
    </row>
    <row r="402" spans="11:11" x14ac:dyDescent="0.25">
      <c r="K402" s="242"/>
    </row>
    <row r="403" spans="11:11" x14ac:dyDescent="0.25">
      <c r="K403" s="242"/>
    </row>
    <row r="404" spans="11:11" x14ac:dyDescent="0.25">
      <c r="K404" s="242"/>
    </row>
    <row r="405" spans="11:11" x14ac:dyDescent="0.25">
      <c r="K405" s="242"/>
    </row>
    <row r="406" spans="11:11" x14ac:dyDescent="0.25">
      <c r="K406" s="242"/>
    </row>
    <row r="407" spans="11:11" x14ac:dyDescent="0.25">
      <c r="K407" s="242"/>
    </row>
    <row r="408" spans="11:11" x14ac:dyDescent="0.25">
      <c r="K408" s="242"/>
    </row>
    <row r="409" spans="11:11" x14ac:dyDescent="0.25">
      <c r="K409" s="242"/>
    </row>
    <row r="410" spans="11:11" x14ac:dyDescent="0.25">
      <c r="K410" s="242"/>
    </row>
    <row r="411" spans="11:11" x14ac:dyDescent="0.25">
      <c r="K411" s="242"/>
    </row>
    <row r="412" spans="11:11" x14ac:dyDescent="0.25">
      <c r="K412" s="242"/>
    </row>
    <row r="413" spans="11:11" x14ac:dyDescent="0.25">
      <c r="K413" s="242"/>
    </row>
    <row r="414" spans="11:11" x14ac:dyDescent="0.25">
      <c r="K414" s="242"/>
    </row>
    <row r="415" spans="11:11" x14ac:dyDescent="0.25">
      <c r="K415" s="242"/>
    </row>
    <row r="416" spans="11:11" x14ac:dyDescent="0.25">
      <c r="K416" s="242"/>
    </row>
    <row r="417" spans="11:11" x14ac:dyDescent="0.25">
      <c r="K417" s="242"/>
    </row>
    <row r="418" spans="11:11" x14ac:dyDescent="0.25">
      <c r="K418" s="242"/>
    </row>
    <row r="419" spans="11:11" x14ac:dyDescent="0.25">
      <c r="K419" s="242"/>
    </row>
    <row r="420" spans="11:11" x14ac:dyDescent="0.25">
      <c r="K420" s="242"/>
    </row>
    <row r="421" spans="11:11" x14ac:dyDescent="0.25">
      <c r="K421" s="242"/>
    </row>
    <row r="422" spans="11:11" x14ac:dyDescent="0.25">
      <c r="K422" s="242"/>
    </row>
    <row r="423" spans="11:11" x14ac:dyDescent="0.25">
      <c r="K423" s="242"/>
    </row>
    <row r="424" spans="11:11" x14ac:dyDescent="0.25">
      <c r="K424" s="242"/>
    </row>
    <row r="425" spans="11:11" x14ac:dyDescent="0.25">
      <c r="K425" s="242"/>
    </row>
    <row r="426" spans="11:11" x14ac:dyDescent="0.25">
      <c r="K426" s="242"/>
    </row>
    <row r="427" spans="11:11" x14ac:dyDescent="0.25">
      <c r="K427" s="242"/>
    </row>
    <row r="428" spans="11:11" x14ac:dyDescent="0.25">
      <c r="K428" s="242"/>
    </row>
    <row r="429" spans="11:11" x14ac:dyDescent="0.25">
      <c r="K429" s="242"/>
    </row>
    <row r="430" spans="11:11" x14ac:dyDescent="0.25">
      <c r="K430" s="242"/>
    </row>
    <row r="431" spans="11:11" x14ac:dyDescent="0.25">
      <c r="K431" s="242"/>
    </row>
    <row r="432" spans="11:11" x14ac:dyDescent="0.25">
      <c r="K432" s="242"/>
    </row>
    <row r="433" spans="11:11" x14ac:dyDescent="0.25">
      <c r="K433" s="242"/>
    </row>
    <row r="434" spans="11:11" x14ac:dyDescent="0.25">
      <c r="K434" s="242"/>
    </row>
    <row r="435" spans="11:11" x14ac:dyDescent="0.25">
      <c r="K435" s="242"/>
    </row>
    <row r="436" spans="11:11" x14ac:dyDescent="0.25">
      <c r="K436" s="242"/>
    </row>
    <row r="437" spans="11:11" x14ac:dyDescent="0.25">
      <c r="K437" s="242"/>
    </row>
    <row r="438" spans="11:11" x14ac:dyDescent="0.25">
      <c r="K438" s="242"/>
    </row>
    <row r="439" spans="11:11" x14ac:dyDescent="0.25">
      <c r="K439" s="242"/>
    </row>
    <row r="440" spans="11:11" x14ac:dyDescent="0.25">
      <c r="K440" s="242"/>
    </row>
    <row r="441" spans="11:11" x14ac:dyDescent="0.25">
      <c r="K441" s="242"/>
    </row>
    <row r="442" spans="11:11" x14ac:dyDescent="0.25">
      <c r="K442" s="242"/>
    </row>
    <row r="443" spans="11:11" x14ac:dyDescent="0.25">
      <c r="K443" s="242"/>
    </row>
    <row r="444" spans="11:11" x14ac:dyDescent="0.25">
      <c r="K444" s="242"/>
    </row>
    <row r="445" spans="11:11" x14ac:dyDescent="0.25">
      <c r="K445" s="242"/>
    </row>
    <row r="446" spans="11:11" x14ac:dyDescent="0.25">
      <c r="K446" s="242"/>
    </row>
    <row r="447" spans="11:11" x14ac:dyDescent="0.25">
      <c r="K447" s="242"/>
    </row>
    <row r="448" spans="11:11" x14ac:dyDescent="0.25">
      <c r="K448" s="242"/>
    </row>
    <row r="449" spans="11:11" x14ac:dyDescent="0.25">
      <c r="K449" s="242"/>
    </row>
    <row r="450" spans="11:11" x14ac:dyDescent="0.25">
      <c r="K450" s="242"/>
    </row>
    <row r="451" spans="11:11" x14ac:dyDescent="0.25">
      <c r="K451" s="242"/>
    </row>
    <row r="452" spans="11:11" x14ac:dyDescent="0.25">
      <c r="K452" s="242"/>
    </row>
    <row r="453" spans="11:11" x14ac:dyDescent="0.25">
      <c r="K453" s="242"/>
    </row>
    <row r="454" spans="11:11" x14ac:dyDescent="0.25">
      <c r="K454" s="242"/>
    </row>
    <row r="455" spans="11:11" x14ac:dyDescent="0.25">
      <c r="K455" s="242"/>
    </row>
    <row r="456" spans="11:11" x14ac:dyDescent="0.25">
      <c r="K456" s="242"/>
    </row>
    <row r="457" spans="11:11" x14ac:dyDescent="0.25">
      <c r="K457" s="242"/>
    </row>
    <row r="458" spans="11:11" x14ac:dyDescent="0.25">
      <c r="K458" s="242"/>
    </row>
    <row r="459" spans="11:11" x14ac:dyDescent="0.25">
      <c r="K459" s="242"/>
    </row>
    <row r="460" spans="11:11" x14ac:dyDescent="0.25">
      <c r="K460" s="242"/>
    </row>
    <row r="461" spans="11:11" x14ac:dyDescent="0.25">
      <c r="K461" s="242"/>
    </row>
    <row r="462" spans="11:11" x14ac:dyDescent="0.25">
      <c r="K462" s="242"/>
    </row>
    <row r="463" spans="11:11" x14ac:dyDescent="0.25">
      <c r="K463" s="242"/>
    </row>
    <row r="464" spans="11:11" x14ac:dyDescent="0.25">
      <c r="K464" s="242"/>
    </row>
    <row r="465" spans="11:11" x14ac:dyDescent="0.25">
      <c r="K465" s="242"/>
    </row>
    <row r="466" spans="11:11" x14ac:dyDescent="0.25">
      <c r="K466" s="242"/>
    </row>
    <row r="467" spans="11:11" x14ac:dyDescent="0.25">
      <c r="K467" s="242"/>
    </row>
    <row r="468" spans="11:11" x14ac:dyDescent="0.25">
      <c r="K468" s="242"/>
    </row>
    <row r="469" spans="11:11" x14ac:dyDescent="0.25">
      <c r="K469" s="242"/>
    </row>
    <row r="470" spans="11:11" x14ac:dyDescent="0.25">
      <c r="K470" s="242"/>
    </row>
    <row r="471" spans="11:11" x14ac:dyDescent="0.25">
      <c r="K471" s="242"/>
    </row>
    <row r="472" spans="11:11" x14ac:dyDescent="0.25">
      <c r="K472" s="242"/>
    </row>
    <row r="473" spans="11:11" x14ac:dyDescent="0.25">
      <c r="K473" s="242"/>
    </row>
    <row r="474" spans="11:11" x14ac:dyDescent="0.25">
      <c r="K474" s="242"/>
    </row>
    <row r="475" spans="11:11" x14ac:dyDescent="0.25">
      <c r="K475" s="242"/>
    </row>
    <row r="476" spans="11:11" x14ac:dyDescent="0.25">
      <c r="K476" s="242"/>
    </row>
    <row r="477" spans="11:11" x14ac:dyDescent="0.25">
      <c r="K477" s="242"/>
    </row>
    <row r="478" spans="11:11" x14ac:dyDescent="0.25">
      <c r="K478" s="242"/>
    </row>
    <row r="479" spans="11:11" x14ac:dyDescent="0.25">
      <c r="K479" s="242"/>
    </row>
    <row r="480" spans="11:11" x14ac:dyDescent="0.25">
      <c r="K480" s="242"/>
    </row>
    <row r="481" spans="11:11" x14ac:dyDescent="0.25">
      <c r="K481" s="242"/>
    </row>
    <row r="482" spans="11:11" x14ac:dyDescent="0.25">
      <c r="K482" s="242"/>
    </row>
    <row r="483" spans="11:11" x14ac:dyDescent="0.25">
      <c r="K483" s="242"/>
    </row>
    <row r="484" spans="11:11" x14ac:dyDescent="0.25">
      <c r="K484" s="242"/>
    </row>
    <row r="485" spans="11:11" x14ac:dyDescent="0.25">
      <c r="K485" s="242"/>
    </row>
    <row r="486" spans="11:11" x14ac:dyDescent="0.25">
      <c r="K486" s="242"/>
    </row>
    <row r="487" spans="11:11" x14ac:dyDescent="0.25">
      <c r="K487" s="242"/>
    </row>
    <row r="488" spans="11:11" x14ac:dyDescent="0.25">
      <c r="K488" s="242"/>
    </row>
    <row r="489" spans="11:11" x14ac:dyDescent="0.25">
      <c r="K489" s="242"/>
    </row>
    <row r="490" spans="11:11" x14ac:dyDescent="0.25">
      <c r="K490" s="242"/>
    </row>
    <row r="491" spans="11:11" x14ac:dyDescent="0.25">
      <c r="K491" s="242"/>
    </row>
    <row r="492" spans="11:11" x14ac:dyDescent="0.25">
      <c r="K492" s="242"/>
    </row>
    <row r="493" spans="11:11" x14ac:dyDescent="0.25">
      <c r="K493" s="242"/>
    </row>
    <row r="494" spans="11:11" x14ac:dyDescent="0.25">
      <c r="K494" s="242"/>
    </row>
    <row r="495" spans="11:11" x14ac:dyDescent="0.25">
      <c r="K495" s="242"/>
    </row>
    <row r="496" spans="11:11" x14ac:dyDescent="0.25">
      <c r="K496" s="242"/>
    </row>
    <row r="497" spans="11:11" x14ac:dyDescent="0.25">
      <c r="K497" s="242"/>
    </row>
    <row r="498" spans="11:11" x14ac:dyDescent="0.25">
      <c r="K498" s="242"/>
    </row>
    <row r="499" spans="11:11" x14ac:dyDescent="0.25">
      <c r="K499" s="242"/>
    </row>
    <row r="500" spans="11:11" x14ac:dyDescent="0.25">
      <c r="K500" s="242"/>
    </row>
    <row r="501" spans="11:11" x14ac:dyDescent="0.25">
      <c r="K501" s="242"/>
    </row>
    <row r="502" spans="11:11" x14ac:dyDescent="0.25">
      <c r="K502" s="242"/>
    </row>
    <row r="503" spans="11:11" x14ac:dyDescent="0.25">
      <c r="K503" s="242"/>
    </row>
    <row r="504" spans="11:11" x14ac:dyDescent="0.25">
      <c r="K504" s="242"/>
    </row>
    <row r="505" spans="11:11" x14ac:dyDescent="0.25">
      <c r="K505" s="242"/>
    </row>
    <row r="506" spans="11:11" x14ac:dyDescent="0.25">
      <c r="K506" s="242"/>
    </row>
    <row r="507" spans="11:11" x14ac:dyDescent="0.25">
      <c r="K507" s="242"/>
    </row>
    <row r="508" spans="11:11" x14ac:dyDescent="0.25">
      <c r="K508" s="242"/>
    </row>
    <row r="509" spans="11:11" x14ac:dyDescent="0.25">
      <c r="K509" s="242"/>
    </row>
    <row r="510" spans="11:11" x14ac:dyDescent="0.25">
      <c r="K510" s="242"/>
    </row>
    <row r="511" spans="11:11" x14ac:dyDescent="0.25">
      <c r="K511" s="242"/>
    </row>
    <row r="512" spans="11:11" x14ac:dyDescent="0.25">
      <c r="K512" s="242"/>
    </row>
    <row r="513" spans="11:11" x14ac:dyDescent="0.25">
      <c r="K513" s="242"/>
    </row>
    <row r="514" spans="11:11" x14ac:dyDescent="0.25">
      <c r="K514" s="242"/>
    </row>
    <row r="515" spans="11:11" x14ac:dyDescent="0.25">
      <c r="K515" s="242"/>
    </row>
    <row r="516" spans="11:11" x14ac:dyDescent="0.25">
      <c r="K516" s="242"/>
    </row>
    <row r="517" spans="11:11" x14ac:dyDescent="0.25">
      <c r="K517" s="242"/>
    </row>
    <row r="518" spans="11:11" x14ac:dyDescent="0.25">
      <c r="K518" s="242"/>
    </row>
    <row r="519" spans="11:11" x14ac:dyDescent="0.25">
      <c r="K519" s="242"/>
    </row>
    <row r="520" spans="11:11" x14ac:dyDescent="0.25">
      <c r="K520" s="242"/>
    </row>
    <row r="521" spans="11:11" x14ac:dyDescent="0.25">
      <c r="K521" s="242"/>
    </row>
    <row r="522" spans="11:11" x14ac:dyDescent="0.25">
      <c r="K522" s="242"/>
    </row>
    <row r="523" spans="11:11" x14ac:dyDescent="0.25">
      <c r="K523" s="242"/>
    </row>
    <row r="524" spans="11:11" x14ac:dyDescent="0.25">
      <c r="K524" s="242"/>
    </row>
    <row r="525" spans="11:11" x14ac:dyDescent="0.25">
      <c r="K525" s="242"/>
    </row>
    <row r="526" spans="11:11" x14ac:dyDescent="0.25">
      <c r="K526" s="242"/>
    </row>
    <row r="527" spans="11:11" x14ac:dyDescent="0.25">
      <c r="K527" s="242"/>
    </row>
    <row r="528" spans="11:11" x14ac:dyDescent="0.25">
      <c r="K528" s="242"/>
    </row>
    <row r="529" spans="11:11" x14ac:dyDescent="0.25">
      <c r="K529" s="242"/>
    </row>
    <row r="530" spans="11:11" x14ac:dyDescent="0.25">
      <c r="K530" s="242"/>
    </row>
    <row r="531" spans="11:11" x14ac:dyDescent="0.25">
      <c r="K531" s="242"/>
    </row>
    <row r="532" spans="11:11" x14ac:dyDescent="0.25">
      <c r="K532" s="242"/>
    </row>
    <row r="533" spans="11:11" x14ac:dyDescent="0.25">
      <c r="K533" s="242"/>
    </row>
    <row r="534" spans="11:11" x14ac:dyDescent="0.25">
      <c r="K534" s="242"/>
    </row>
    <row r="535" spans="11:11" x14ac:dyDescent="0.25">
      <c r="K535" s="242"/>
    </row>
    <row r="536" spans="11:11" x14ac:dyDescent="0.25">
      <c r="K536" s="242"/>
    </row>
    <row r="537" spans="11:11" x14ac:dyDescent="0.25">
      <c r="K537" s="242"/>
    </row>
    <row r="538" spans="11:11" x14ac:dyDescent="0.25">
      <c r="K538" s="242"/>
    </row>
    <row r="539" spans="11:11" x14ac:dyDescent="0.25">
      <c r="K539" s="242"/>
    </row>
    <row r="540" spans="11:11" x14ac:dyDescent="0.25">
      <c r="K540" s="242"/>
    </row>
    <row r="541" spans="11:11" x14ac:dyDescent="0.25">
      <c r="K541" s="242"/>
    </row>
    <row r="542" spans="11:11" x14ac:dyDescent="0.25">
      <c r="K542" s="242"/>
    </row>
    <row r="543" spans="11:11" x14ac:dyDescent="0.25">
      <c r="K543" s="242"/>
    </row>
    <row r="544" spans="11:11" x14ac:dyDescent="0.25">
      <c r="K544" s="242"/>
    </row>
    <row r="545" spans="11:11" x14ac:dyDescent="0.25">
      <c r="K545" s="242"/>
    </row>
    <row r="546" spans="11:11" x14ac:dyDescent="0.25">
      <c r="K546" s="242"/>
    </row>
    <row r="547" spans="11:11" x14ac:dyDescent="0.25">
      <c r="K547" s="242"/>
    </row>
    <row r="548" spans="11:11" x14ac:dyDescent="0.25">
      <c r="K548" s="242"/>
    </row>
    <row r="549" spans="11:11" x14ac:dyDescent="0.25">
      <c r="K549" s="242"/>
    </row>
    <row r="550" spans="11:11" x14ac:dyDescent="0.25">
      <c r="K550" s="242"/>
    </row>
    <row r="551" spans="11:11" x14ac:dyDescent="0.25">
      <c r="K551" s="242"/>
    </row>
    <row r="552" spans="11:11" x14ac:dyDescent="0.25">
      <c r="K552" s="242"/>
    </row>
    <row r="553" spans="11:11" x14ac:dyDescent="0.25">
      <c r="K553" s="242"/>
    </row>
    <row r="554" spans="11:11" x14ac:dyDescent="0.25">
      <c r="K554" s="242"/>
    </row>
    <row r="555" spans="11:11" x14ac:dyDescent="0.25">
      <c r="K555" s="242"/>
    </row>
    <row r="556" spans="11:11" x14ac:dyDescent="0.25">
      <c r="K556" s="242"/>
    </row>
    <row r="557" spans="11:11" x14ac:dyDescent="0.25">
      <c r="K557" s="242"/>
    </row>
    <row r="558" spans="11:11" x14ac:dyDescent="0.25">
      <c r="K558" s="242"/>
    </row>
    <row r="559" spans="11:11" x14ac:dyDescent="0.25">
      <c r="K559" s="242"/>
    </row>
    <row r="560" spans="11:11" x14ac:dyDescent="0.25">
      <c r="K560" s="242"/>
    </row>
    <row r="561" spans="11:11" x14ac:dyDescent="0.25">
      <c r="K561" s="242"/>
    </row>
    <row r="562" spans="11:11" x14ac:dyDescent="0.25">
      <c r="K562" s="242"/>
    </row>
    <row r="563" spans="11:11" x14ac:dyDescent="0.25">
      <c r="K563" s="242"/>
    </row>
    <row r="564" spans="11:11" x14ac:dyDescent="0.25">
      <c r="K564" s="242"/>
    </row>
    <row r="565" spans="11:11" x14ac:dyDescent="0.25">
      <c r="K565" s="242"/>
    </row>
    <row r="566" spans="11:11" x14ac:dyDescent="0.25">
      <c r="K566" s="242"/>
    </row>
    <row r="567" spans="11:11" x14ac:dyDescent="0.25">
      <c r="K567" s="242"/>
    </row>
    <row r="568" spans="11:11" x14ac:dyDescent="0.25">
      <c r="K568" s="242"/>
    </row>
    <row r="569" spans="11:11" x14ac:dyDescent="0.25">
      <c r="K569" s="242"/>
    </row>
    <row r="570" spans="11:11" x14ac:dyDescent="0.25">
      <c r="K570" s="242"/>
    </row>
    <row r="571" spans="11:11" x14ac:dyDescent="0.25">
      <c r="K571" s="242"/>
    </row>
    <row r="572" spans="11:11" x14ac:dyDescent="0.25">
      <c r="K572" s="242"/>
    </row>
    <row r="573" spans="11:11" x14ac:dyDescent="0.25">
      <c r="K573" s="242"/>
    </row>
    <row r="574" spans="11:11" x14ac:dyDescent="0.25">
      <c r="K574" s="242"/>
    </row>
    <row r="575" spans="11:11" x14ac:dyDescent="0.25">
      <c r="K575" s="242"/>
    </row>
    <row r="576" spans="11:11" x14ac:dyDescent="0.25">
      <c r="K576" s="242"/>
    </row>
    <row r="577" spans="11:11" x14ac:dyDescent="0.25">
      <c r="K577" s="242"/>
    </row>
    <row r="578" spans="11:11" x14ac:dyDescent="0.25">
      <c r="K578" s="242"/>
    </row>
    <row r="579" spans="11:11" x14ac:dyDescent="0.25">
      <c r="K579" s="242"/>
    </row>
    <row r="580" spans="11:11" x14ac:dyDescent="0.25">
      <c r="K580" s="242"/>
    </row>
    <row r="581" spans="11:11" x14ac:dyDescent="0.25">
      <c r="K581" s="242"/>
    </row>
    <row r="582" spans="11:11" x14ac:dyDescent="0.25">
      <c r="K582" s="242"/>
    </row>
    <row r="583" spans="11:11" x14ac:dyDescent="0.25">
      <c r="K583" s="242"/>
    </row>
    <row r="584" spans="11:11" x14ac:dyDescent="0.25">
      <c r="K584" s="242"/>
    </row>
    <row r="585" spans="11:11" x14ac:dyDescent="0.25">
      <c r="K585" s="242"/>
    </row>
    <row r="586" spans="11:11" x14ac:dyDescent="0.25">
      <c r="K586" s="242"/>
    </row>
    <row r="587" spans="11:11" x14ac:dyDescent="0.25">
      <c r="K587" s="242"/>
    </row>
    <row r="588" spans="11:11" x14ac:dyDescent="0.25">
      <c r="K588" s="242"/>
    </row>
    <row r="589" spans="11:11" x14ac:dyDescent="0.25">
      <c r="K589" s="242"/>
    </row>
    <row r="590" spans="11:11" x14ac:dyDescent="0.25">
      <c r="K590" s="242"/>
    </row>
    <row r="591" spans="11:11" x14ac:dyDescent="0.25">
      <c r="K591" s="242"/>
    </row>
    <row r="592" spans="11:11" x14ac:dyDescent="0.25">
      <c r="K592" s="242"/>
    </row>
    <row r="593" spans="11:11" x14ac:dyDescent="0.25">
      <c r="K593" s="242"/>
    </row>
    <row r="594" spans="11:11" x14ac:dyDescent="0.25">
      <c r="K594" s="242"/>
    </row>
    <row r="595" spans="11:11" x14ac:dyDescent="0.25">
      <c r="K595" s="242"/>
    </row>
    <row r="596" spans="11:11" x14ac:dyDescent="0.25">
      <c r="K596" s="242"/>
    </row>
    <row r="597" spans="11:11" x14ac:dyDescent="0.25">
      <c r="K597" s="242"/>
    </row>
    <row r="598" spans="11:11" x14ac:dyDescent="0.25">
      <c r="K598" s="242"/>
    </row>
    <row r="599" spans="11:11" x14ac:dyDescent="0.25">
      <c r="K599" s="242"/>
    </row>
    <row r="600" spans="11:11" x14ac:dyDescent="0.25">
      <c r="K600" s="242"/>
    </row>
    <row r="601" spans="11:11" x14ac:dyDescent="0.25">
      <c r="K601" s="242"/>
    </row>
    <row r="602" spans="11:11" x14ac:dyDescent="0.25">
      <c r="K602" s="242"/>
    </row>
    <row r="603" spans="11:11" x14ac:dyDescent="0.25">
      <c r="K603" s="242"/>
    </row>
    <row r="604" spans="11:11" x14ac:dyDescent="0.25">
      <c r="K604" s="242"/>
    </row>
    <row r="605" spans="11:11" x14ac:dyDescent="0.25">
      <c r="K605" s="242"/>
    </row>
    <row r="606" spans="11:11" x14ac:dyDescent="0.25">
      <c r="K606" s="242"/>
    </row>
    <row r="607" spans="11:11" x14ac:dyDescent="0.25">
      <c r="K607" s="242"/>
    </row>
    <row r="608" spans="11:11" x14ac:dyDescent="0.25">
      <c r="K608" s="242"/>
    </row>
    <row r="609" spans="11:11" x14ac:dyDescent="0.25">
      <c r="K609" s="242"/>
    </row>
    <row r="610" spans="11:11" x14ac:dyDescent="0.25">
      <c r="K610" s="242"/>
    </row>
    <row r="611" spans="11:11" x14ac:dyDescent="0.25">
      <c r="K611" s="242"/>
    </row>
    <row r="612" spans="11:11" x14ac:dyDescent="0.25">
      <c r="K612" s="242"/>
    </row>
    <row r="613" spans="11:11" x14ac:dyDescent="0.25">
      <c r="K613" s="242"/>
    </row>
    <row r="614" spans="11:11" x14ac:dyDescent="0.25">
      <c r="K614" s="242"/>
    </row>
    <row r="615" spans="11:11" x14ac:dyDescent="0.25">
      <c r="K615" s="242"/>
    </row>
    <row r="616" spans="11:11" x14ac:dyDescent="0.25">
      <c r="K616" s="242"/>
    </row>
    <row r="617" spans="11:11" x14ac:dyDescent="0.25">
      <c r="K617" s="242"/>
    </row>
    <row r="618" spans="11:11" x14ac:dyDescent="0.25">
      <c r="K618" s="242"/>
    </row>
    <row r="619" spans="11:11" x14ac:dyDescent="0.25">
      <c r="K619" s="242"/>
    </row>
    <row r="620" spans="11:11" x14ac:dyDescent="0.25">
      <c r="K620" s="242"/>
    </row>
    <row r="621" spans="11:11" x14ac:dyDescent="0.25">
      <c r="K621" s="242"/>
    </row>
    <row r="622" spans="11:11" x14ac:dyDescent="0.25">
      <c r="K622" s="242"/>
    </row>
    <row r="623" spans="11:11" x14ac:dyDescent="0.25">
      <c r="K623" s="242"/>
    </row>
    <row r="624" spans="11:11" x14ac:dyDescent="0.25">
      <c r="K624" s="242"/>
    </row>
    <row r="625" spans="11:11" x14ac:dyDescent="0.25">
      <c r="K625" s="242"/>
    </row>
    <row r="626" spans="11:11" x14ac:dyDescent="0.25">
      <c r="K626" s="242"/>
    </row>
    <row r="627" spans="11:11" x14ac:dyDescent="0.25">
      <c r="K627" s="242"/>
    </row>
    <row r="628" spans="11:11" x14ac:dyDescent="0.25">
      <c r="K628" s="242"/>
    </row>
    <row r="629" spans="11:11" x14ac:dyDescent="0.25">
      <c r="K629" s="242"/>
    </row>
    <row r="630" spans="11:11" x14ac:dyDescent="0.25">
      <c r="K630" s="242"/>
    </row>
    <row r="631" spans="11:11" x14ac:dyDescent="0.25">
      <c r="K631" s="242"/>
    </row>
    <row r="632" spans="11:11" x14ac:dyDescent="0.25">
      <c r="K632" s="242"/>
    </row>
    <row r="633" spans="11:11" x14ac:dyDescent="0.25">
      <c r="K633" s="242"/>
    </row>
    <row r="634" spans="11:11" x14ac:dyDescent="0.25">
      <c r="K634" s="242"/>
    </row>
    <row r="635" spans="11:11" x14ac:dyDescent="0.25">
      <c r="K635" s="242"/>
    </row>
    <row r="636" spans="11:11" x14ac:dyDescent="0.25">
      <c r="K636" s="242"/>
    </row>
    <row r="637" spans="11:11" x14ac:dyDescent="0.25">
      <c r="K637" s="242"/>
    </row>
    <row r="638" spans="11:11" x14ac:dyDescent="0.25">
      <c r="K638" s="242"/>
    </row>
    <row r="639" spans="11:11" x14ac:dyDescent="0.25">
      <c r="K639" s="242"/>
    </row>
    <row r="640" spans="11:11" x14ac:dyDescent="0.25">
      <c r="K640" s="242"/>
    </row>
    <row r="641" spans="11:11" x14ac:dyDescent="0.25">
      <c r="K641" s="242"/>
    </row>
    <row r="642" spans="11:11" x14ac:dyDescent="0.25">
      <c r="K642" s="242"/>
    </row>
    <row r="643" spans="11:11" x14ac:dyDescent="0.25">
      <c r="K643" s="242"/>
    </row>
    <row r="644" spans="11:11" x14ac:dyDescent="0.25">
      <c r="K644" s="242"/>
    </row>
    <row r="645" spans="11:11" x14ac:dyDescent="0.25">
      <c r="K645" s="242"/>
    </row>
    <row r="646" spans="11:11" x14ac:dyDescent="0.25">
      <c r="K646" s="242"/>
    </row>
    <row r="647" spans="11:11" x14ac:dyDescent="0.25">
      <c r="K647" s="242"/>
    </row>
    <row r="648" spans="11:11" x14ac:dyDescent="0.25">
      <c r="K648" s="242"/>
    </row>
    <row r="649" spans="11:11" x14ac:dyDescent="0.25">
      <c r="K649" s="242"/>
    </row>
    <row r="650" spans="11:11" x14ac:dyDescent="0.25">
      <c r="K650" s="242"/>
    </row>
    <row r="651" spans="11:11" x14ac:dyDescent="0.25">
      <c r="K651" s="242"/>
    </row>
    <row r="652" spans="11:11" x14ac:dyDescent="0.25">
      <c r="K652" s="242"/>
    </row>
    <row r="653" spans="11:11" x14ac:dyDescent="0.25">
      <c r="K653" s="242"/>
    </row>
    <row r="654" spans="11:11" x14ac:dyDescent="0.25">
      <c r="K654" s="242"/>
    </row>
    <row r="655" spans="11:11" x14ac:dyDescent="0.25">
      <c r="K655" s="242"/>
    </row>
    <row r="656" spans="11:11" x14ac:dyDescent="0.25">
      <c r="K656" s="242"/>
    </row>
    <row r="657" spans="11:11" x14ac:dyDescent="0.25">
      <c r="K657" s="242"/>
    </row>
    <row r="658" spans="11:11" x14ac:dyDescent="0.25">
      <c r="K658" s="242"/>
    </row>
    <row r="659" spans="11:11" x14ac:dyDescent="0.25">
      <c r="K659" s="242"/>
    </row>
    <row r="660" spans="11:11" x14ac:dyDescent="0.25">
      <c r="K660" s="242"/>
    </row>
    <row r="661" spans="11:11" x14ac:dyDescent="0.25">
      <c r="K661" s="242"/>
    </row>
    <row r="662" spans="11:11" x14ac:dyDescent="0.25">
      <c r="K662" s="242"/>
    </row>
    <row r="663" spans="11:11" x14ac:dyDescent="0.25">
      <c r="K663" s="242"/>
    </row>
    <row r="664" spans="11:11" x14ac:dyDescent="0.25">
      <c r="K664" s="242"/>
    </row>
    <row r="665" spans="11:11" x14ac:dyDescent="0.25">
      <c r="K665" s="242"/>
    </row>
    <row r="666" spans="11:11" x14ac:dyDescent="0.25">
      <c r="K666" s="242"/>
    </row>
    <row r="667" spans="11:11" x14ac:dyDescent="0.25">
      <c r="K667" s="242"/>
    </row>
    <row r="668" spans="11:11" x14ac:dyDescent="0.25">
      <c r="K668" s="242"/>
    </row>
    <row r="669" spans="11:11" x14ac:dyDescent="0.25">
      <c r="K669" s="242"/>
    </row>
    <row r="670" spans="11:11" x14ac:dyDescent="0.25">
      <c r="K670" s="242"/>
    </row>
    <row r="671" spans="11:11" x14ac:dyDescent="0.25">
      <c r="K671" s="242"/>
    </row>
    <row r="672" spans="11:11" x14ac:dyDescent="0.25">
      <c r="K672" s="242"/>
    </row>
    <row r="673" spans="11:11" x14ac:dyDescent="0.25">
      <c r="K673" s="242"/>
    </row>
    <row r="674" spans="11:11" x14ac:dyDescent="0.25">
      <c r="K674" s="242"/>
    </row>
    <row r="675" spans="11:11" x14ac:dyDescent="0.25">
      <c r="K675" s="242"/>
    </row>
    <row r="676" spans="11:11" x14ac:dyDescent="0.25">
      <c r="K676" s="242"/>
    </row>
    <row r="677" spans="11:11" x14ac:dyDescent="0.25">
      <c r="K677" s="242"/>
    </row>
    <row r="678" spans="11:11" x14ac:dyDescent="0.25">
      <c r="K678" s="242"/>
    </row>
    <row r="679" spans="11:11" x14ac:dyDescent="0.25">
      <c r="K679" s="242"/>
    </row>
    <row r="680" spans="11:11" x14ac:dyDescent="0.25">
      <c r="K680" s="242"/>
    </row>
    <row r="681" spans="11:11" x14ac:dyDescent="0.25">
      <c r="K681" s="242"/>
    </row>
    <row r="682" spans="11:11" x14ac:dyDescent="0.25">
      <c r="K682" s="242"/>
    </row>
    <row r="683" spans="11:11" x14ac:dyDescent="0.25">
      <c r="K683" s="242"/>
    </row>
    <row r="684" spans="11:11" x14ac:dyDescent="0.25">
      <c r="K684" s="242"/>
    </row>
    <row r="685" spans="11:11" x14ac:dyDescent="0.25">
      <c r="K685" s="242"/>
    </row>
    <row r="686" spans="11:11" x14ac:dyDescent="0.25">
      <c r="K686" s="242"/>
    </row>
    <row r="687" spans="11:11" x14ac:dyDescent="0.25">
      <c r="K687" s="242"/>
    </row>
    <row r="688" spans="11:11" x14ac:dyDescent="0.25">
      <c r="K688" s="242"/>
    </row>
    <row r="689" spans="11:11" x14ac:dyDescent="0.25">
      <c r="K689" s="242"/>
    </row>
    <row r="690" spans="11:11" x14ac:dyDescent="0.25">
      <c r="K690" s="242"/>
    </row>
    <row r="691" spans="11:11" x14ac:dyDescent="0.25">
      <c r="K691" s="242"/>
    </row>
    <row r="692" spans="11:11" x14ac:dyDescent="0.25">
      <c r="K692" s="242"/>
    </row>
    <row r="693" spans="11:11" x14ac:dyDescent="0.25">
      <c r="K693" s="242"/>
    </row>
    <row r="694" spans="11:11" x14ac:dyDescent="0.25">
      <c r="K694" s="242"/>
    </row>
    <row r="695" spans="11:11" x14ac:dyDescent="0.25">
      <c r="K695" s="242"/>
    </row>
    <row r="696" spans="11:11" x14ac:dyDescent="0.25">
      <c r="K696" s="242"/>
    </row>
    <row r="697" spans="11:11" x14ac:dyDescent="0.25">
      <c r="K697" s="242"/>
    </row>
    <row r="698" spans="11:11" x14ac:dyDescent="0.25">
      <c r="K698" s="242"/>
    </row>
    <row r="699" spans="11:11" x14ac:dyDescent="0.25">
      <c r="K699" s="242"/>
    </row>
    <row r="700" spans="11:11" x14ac:dyDescent="0.25">
      <c r="K700" s="242"/>
    </row>
    <row r="701" spans="11:11" x14ac:dyDescent="0.25">
      <c r="K701" s="242"/>
    </row>
    <row r="702" spans="11:11" x14ac:dyDescent="0.25">
      <c r="K702" s="242"/>
    </row>
    <row r="703" spans="11:11" x14ac:dyDescent="0.25">
      <c r="K703" s="242"/>
    </row>
    <row r="704" spans="11:11" x14ac:dyDescent="0.25">
      <c r="K704" s="242"/>
    </row>
    <row r="705" spans="11:11" x14ac:dyDescent="0.25">
      <c r="K705" s="242"/>
    </row>
    <row r="706" spans="11:11" x14ac:dyDescent="0.25">
      <c r="K706" s="242"/>
    </row>
    <row r="707" spans="11:11" x14ac:dyDescent="0.25">
      <c r="K707" s="242"/>
    </row>
    <row r="708" spans="11:11" x14ac:dyDescent="0.25">
      <c r="K708" s="242"/>
    </row>
    <row r="709" spans="11:11" x14ac:dyDescent="0.25">
      <c r="K709" s="242"/>
    </row>
    <row r="710" spans="11:11" x14ac:dyDescent="0.25">
      <c r="K710" s="242"/>
    </row>
    <row r="711" spans="11:11" x14ac:dyDescent="0.25">
      <c r="K711" s="242"/>
    </row>
    <row r="712" spans="11:11" x14ac:dyDescent="0.25">
      <c r="K712" s="242"/>
    </row>
    <row r="713" spans="11:11" x14ac:dyDescent="0.25">
      <c r="K713" s="242"/>
    </row>
    <row r="714" spans="11:11" x14ac:dyDescent="0.25">
      <c r="K714" s="242"/>
    </row>
    <row r="715" spans="11:11" x14ac:dyDescent="0.25">
      <c r="K715" s="242"/>
    </row>
    <row r="716" spans="11:11" x14ac:dyDescent="0.25">
      <c r="K716" s="242"/>
    </row>
    <row r="717" spans="11:11" x14ac:dyDescent="0.25">
      <c r="K717" s="242"/>
    </row>
    <row r="718" spans="11:11" x14ac:dyDescent="0.25">
      <c r="K718" s="242"/>
    </row>
    <row r="719" spans="11:11" x14ac:dyDescent="0.25">
      <c r="K719" s="242"/>
    </row>
    <row r="720" spans="11:11" x14ac:dyDescent="0.25">
      <c r="K720" s="242"/>
    </row>
    <row r="721" spans="11:11" x14ac:dyDescent="0.25">
      <c r="K721" s="242"/>
    </row>
    <row r="722" spans="11:11" x14ac:dyDescent="0.25">
      <c r="K722" s="242"/>
    </row>
    <row r="723" spans="11:11" x14ac:dyDescent="0.25">
      <c r="K723" s="242"/>
    </row>
    <row r="724" spans="11:11" x14ac:dyDescent="0.25">
      <c r="K724" s="242"/>
    </row>
    <row r="725" spans="11:11" x14ac:dyDescent="0.25">
      <c r="K725" s="242"/>
    </row>
    <row r="726" spans="11:11" x14ac:dyDescent="0.25">
      <c r="K726" s="242"/>
    </row>
    <row r="727" spans="11:11" x14ac:dyDescent="0.25">
      <c r="K727" s="242"/>
    </row>
    <row r="728" spans="11:11" x14ac:dyDescent="0.25">
      <c r="K728" s="242"/>
    </row>
    <row r="729" spans="11:11" x14ac:dyDescent="0.25">
      <c r="K729" s="242"/>
    </row>
    <row r="730" spans="11:11" x14ac:dyDescent="0.25">
      <c r="K730" s="242"/>
    </row>
    <row r="731" spans="11:11" x14ac:dyDescent="0.25">
      <c r="K731" s="242"/>
    </row>
    <row r="732" spans="11:11" x14ac:dyDescent="0.25">
      <c r="K732" s="242"/>
    </row>
    <row r="733" spans="11:11" x14ac:dyDescent="0.25">
      <c r="K733" s="242"/>
    </row>
    <row r="734" spans="11:11" x14ac:dyDescent="0.25">
      <c r="K734" s="242"/>
    </row>
    <row r="735" spans="11:11" x14ac:dyDescent="0.25">
      <c r="K735" s="242"/>
    </row>
    <row r="736" spans="11:11" x14ac:dyDescent="0.25">
      <c r="K736" s="242"/>
    </row>
    <row r="737" spans="11:11" x14ac:dyDescent="0.25">
      <c r="K737" s="242"/>
    </row>
    <row r="738" spans="11:11" x14ac:dyDescent="0.25">
      <c r="K738" s="242"/>
    </row>
    <row r="739" spans="11:11" x14ac:dyDescent="0.25">
      <c r="K739" s="242"/>
    </row>
    <row r="740" spans="11:11" x14ac:dyDescent="0.25">
      <c r="K740" s="242"/>
    </row>
    <row r="741" spans="11:11" x14ac:dyDescent="0.25">
      <c r="K741" s="242"/>
    </row>
    <row r="742" spans="11:11" x14ac:dyDescent="0.25">
      <c r="K742" s="242"/>
    </row>
    <row r="743" spans="11:11" x14ac:dyDescent="0.25">
      <c r="K743" s="242"/>
    </row>
    <row r="744" spans="11:11" x14ac:dyDescent="0.25">
      <c r="K744" s="242"/>
    </row>
    <row r="745" spans="11:11" x14ac:dyDescent="0.25">
      <c r="K745" s="242"/>
    </row>
    <row r="746" spans="11:11" x14ac:dyDescent="0.25">
      <c r="K746" s="242"/>
    </row>
    <row r="747" spans="11:11" x14ac:dyDescent="0.25">
      <c r="K747" s="242"/>
    </row>
    <row r="748" spans="11:11" x14ac:dyDescent="0.25">
      <c r="K748" s="242"/>
    </row>
    <row r="749" spans="11:11" x14ac:dyDescent="0.25">
      <c r="K749" s="242"/>
    </row>
    <row r="750" spans="11:11" x14ac:dyDescent="0.25">
      <c r="K750" s="242"/>
    </row>
    <row r="751" spans="11:11" x14ac:dyDescent="0.25">
      <c r="K751" s="242"/>
    </row>
    <row r="752" spans="11:11" x14ac:dyDescent="0.25">
      <c r="K752" s="242"/>
    </row>
    <row r="753" spans="11:11" x14ac:dyDescent="0.25">
      <c r="K753" s="242"/>
    </row>
    <row r="754" spans="11:11" x14ac:dyDescent="0.25">
      <c r="K754" s="242"/>
    </row>
    <row r="755" spans="11:11" x14ac:dyDescent="0.25">
      <c r="K755" s="242"/>
    </row>
    <row r="756" spans="11:11" x14ac:dyDescent="0.25">
      <c r="K756" s="242"/>
    </row>
    <row r="757" spans="11:11" x14ac:dyDescent="0.25">
      <c r="K757" s="242"/>
    </row>
    <row r="758" spans="11:11" x14ac:dyDescent="0.25">
      <c r="K758" s="242"/>
    </row>
    <row r="759" spans="11:11" x14ac:dyDescent="0.25">
      <c r="K759" s="242"/>
    </row>
    <row r="760" spans="11:11" x14ac:dyDescent="0.25">
      <c r="K760" s="242"/>
    </row>
    <row r="761" spans="11:11" x14ac:dyDescent="0.25">
      <c r="K761" s="242"/>
    </row>
    <row r="762" spans="11:11" x14ac:dyDescent="0.25">
      <c r="K762" s="242"/>
    </row>
    <row r="763" spans="11:11" x14ac:dyDescent="0.25">
      <c r="K763" s="242"/>
    </row>
    <row r="764" spans="11:11" x14ac:dyDescent="0.25">
      <c r="K764" s="242"/>
    </row>
    <row r="765" spans="11:11" x14ac:dyDescent="0.25">
      <c r="K765" s="242"/>
    </row>
    <row r="766" spans="11:11" x14ac:dyDescent="0.25">
      <c r="K766" s="242"/>
    </row>
    <row r="767" spans="11:11" x14ac:dyDescent="0.25">
      <c r="K767" s="242"/>
    </row>
    <row r="768" spans="11:11" x14ac:dyDescent="0.25">
      <c r="K768" s="242"/>
    </row>
    <row r="769" spans="11:11" x14ac:dyDescent="0.25">
      <c r="K769" s="242"/>
    </row>
    <row r="770" spans="11:11" x14ac:dyDescent="0.25">
      <c r="K770" s="242"/>
    </row>
    <row r="771" spans="11:11" x14ac:dyDescent="0.25">
      <c r="K771" s="242"/>
    </row>
    <row r="772" spans="11:11" x14ac:dyDescent="0.25">
      <c r="K772" s="242"/>
    </row>
    <row r="773" spans="11:11" x14ac:dyDescent="0.25">
      <c r="K773" s="242"/>
    </row>
    <row r="774" spans="11:11" x14ac:dyDescent="0.25">
      <c r="K774" s="242"/>
    </row>
    <row r="775" spans="11:11" x14ac:dyDescent="0.25">
      <c r="K775" s="242"/>
    </row>
    <row r="776" spans="11:11" x14ac:dyDescent="0.25">
      <c r="K776" s="242"/>
    </row>
    <row r="777" spans="11:11" x14ac:dyDescent="0.25">
      <c r="K777" s="242"/>
    </row>
    <row r="778" spans="11:11" x14ac:dyDescent="0.25">
      <c r="K778" s="242"/>
    </row>
    <row r="779" spans="11:11" x14ac:dyDescent="0.25">
      <c r="K779" s="242"/>
    </row>
    <row r="780" spans="11:11" x14ac:dyDescent="0.25">
      <c r="K780" s="242"/>
    </row>
    <row r="781" spans="11:11" x14ac:dyDescent="0.25">
      <c r="K781" s="242"/>
    </row>
    <row r="782" spans="11:11" x14ac:dyDescent="0.25">
      <c r="K782" s="242"/>
    </row>
    <row r="783" spans="11:11" x14ac:dyDescent="0.25">
      <c r="K783" s="242"/>
    </row>
    <row r="784" spans="11:11" x14ac:dyDescent="0.25">
      <c r="K784" s="242"/>
    </row>
    <row r="785" spans="11:11" x14ac:dyDescent="0.25">
      <c r="K785" s="242"/>
    </row>
    <row r="786" spans="11:11" x14ac:dyDescent="0.25">
      <c r="K786" s="242"/>
    </row>
    <row r="787" spans="11:11" x14ac:dyDescent="0.25">
      <c r="K787" s="242"/>
    </row>
    <row r="788" spans="11:11" x14ac:dyDescent="0.25">
      <c r="K788" s="242"/>
    </row>
    <row r="789" spans="11:11" x14ac:dyDescent="0.25">
      <c r="K789" s="242"/>
    </row>
    <row r="790" spans="11:11" x14ac:dyDescent="0.25">
      <c r="K790" s="242"/>
    </row>
    <row r="791" spans="11:11" x14ac:dyDescent="0.25">
      <c r="K791" s="242"/>
    </row>
    <row r="792" spans="11:11" x14ac:dyDescent="0.25">
      <c r="K792" s="242"/>
    </row>
    <row r="793" spans="11:11" x14ac:dyDescent="0.25">
      <c r="K793" s="242"/>
    </row>
    <row r="794" spans="11:11" x14ac:dyDescent="0.25">
      <c r="K794" s="242"/>
    </row>
    <row r="795" spans="11:11" x14ac:dyDescent="0.25">
      <c r="K795" s="242"/>
    </row>
    <row r="796" spans="11:11" x14ac:dyDescent="0.25">
      <c r="K796" s="242"/>
    </row>
    <row r="797" spans="11:11" x14ac:dyDescent="0.25">
      <c r="K797" s="242"/>
    </row>
    <row r="798" spans="11:11" x14ac:dyDescent="0.25">
      <c r="K798" s="242"/>
    </row>
    <row r="799" spans="11:11" x14ac:dyDescent="0.25">
      <c r="K799" s="242"/>
    </row>
    <row r="800" spans="11:11" x14ac:dyDescent="0.25">
      <c r="K800" s="242"/>
    </row>
    <row r="801" spans="11:11" x14ac:dyDescent="0.25">
      <c r="K801" s="242"/>
    </row>
    <row r="802" spans="11:11" x14ac:dyDescent="0.25">
      <c r="K802" s="242"/>
    </row>
    <row r="803" spans="11:11" x14ac:dyDescent="0.25">
      <c r="K803" s="242"/>
    </row>
    <row r="804" spans="11:11" x14ac:dyDescent="0.25">
      <c r="K804" s="242"/>
    </row>
    <row r="805" spans="11:11" x14ac:dyDescent="0.25">
      <c r="K805" s="242"/>
    </row>
    <row r="806" spans="11:11" x14ac:dyDescent="0.25">
      <c r="K806" s="242"/>
    </row>
    <row r="807" spans="11:11" x14ac:dyDescent="0.25">
      <c r="K807" s="242"/>
    </row>
    <row r="808" spans="11:11" x14ac:dyDescent="0.25">
      <c r="K808" s="242"/>
    </row>
    <row r="809" spans="11:11" x14ac:dyDescent="0.25">
      <c r="K809" s="242"/>
    </row>
    <row r="810" spans="11:11" x14ac:dyDescent="0.25">
      <c r="K810" s="242"/>
    </row>
    <row r="811" spans="11:11" x14ac:dyDescent="0.25">
      <c r="K811" s="242"/>
    </row>
    <row r="812" spans="11:11" x14ac:dyDescent="0.25">
      <c r="K812" s="242"/>
    </row>
    <row r="813" spans="11:11" x14ac:dyDescent="0.25">
      <c r="K813" s="242"/>
    </row>
    <row r="814" spans="11:11" x14ac:dyDescent="0.25">
      <c r="K814" s="242"/>
    </row>
  </sheetData>
  <sheetProtection algorithmName="SHA-512" hashValue="7C9RfEKFgh0BhvpgQhMfI0cIxwnDl61N8W1CMw51pBGSKhWBF/W8HyxGZJNu4IvJSXN+F+L6pHEaUYf1abboBw==" saltValue="4Ih4Ta+d1tNdHJezCZrnJA==" spinCount="100000" sheet="1" objects="1" scenarios="1"/>
  <mergeCells count="11">
    <mergeCell ref="L2:M7"/>
    <mergeCell ref="C69:I69"/>
    <mergeCell ref="J69:L69"/>
    <mergeCell ref="C136:I136"/>
    <mergeCell ref="J136:L136"/>
    <mergeCell ref="A69:A70"/>
    <mergeCell ref="A204:A205"/>
    <mergeCell ref="B204:B205"/>
    <mergeCell ref="C205:H205"/>
    <mergeCell ref="A135:A136"/>
    <mergeCell ref="B135:B1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L60"/>
  <sheetViews>
    <sheetView zoomScale="70" zoomScaleNormal="70" workbookViewId="0">
      <selection activeCell="H6" sqref="H6"/>
    </sheetView>
  </sheetViews>
  <sheetFormatPr defaultRowHeight="15" x14ac:dyDescent="0.25"/>
  <cols>
    <col min="1" max="1" width="29" style="16" customWidth="1"/>
    <col min="2" max="2" width="26.140625" style="67" customWidth="1"/>
    <col min="3" max="3" width="11.7109375" style="15" customWidth="1"/>
    <col min="4" max="4" width="12" style="31" customWidth="1"/>
    <col min="5" max="5" width="16.140625" style="15" customWidth="1"/>
    <col min="6" max="6" width="12.85546875" style="31" customWidth="1"/>
    <col min="7" max="7" width="22.140625" style="15" customWidth="1"/>
    <col min="8" max="8" width="14" style="31" customWidth="1"/>
    <col min="9" max="9" width="35.5703125" style="31" bestFit="1" customWidth="1"/>
    <col min="10" max="10" width="14" style="31" customWidth="1"/>
    <col min="11" max="11" width="51" style="16" bestFit="1" customWidth="1"/>
    <col min="12" max="12" width="19" style="34" customWidth="1"/>
    <col min="13" max="16384" width="9.140625" style="3"/>
  </cols>
  <sheetData>
    <row r="1" spans="1:12" ht="29.25" customHeight="1" x14ac:dyDescent="0.2">
      <c r="A1" s="284" t="s">
        <v>1</v>
      </c>
      <c r="B1" s="285"/>
      <c r="C1" s="3"/>
      <c r="D1" s="3"/>
      <c r="E1" s="3"/>
      <c r="F1" s="3"/>
      <c r="G1" s="3"/>
      <c r="H1" s="3"/>
      <c r="I1" s="3"/>
      <c r="J1" s="3"/>
      <c r="K1" s="3"/>
      <c r="L1" s="3"/>
    </row>
    <row r="2" spans="1:12" ht="37.5" customHeight="1" x14ac:dyDescent="0.2">
      <c r="A2" s="287"/>
      <c r="B2" s="288"/>
      <c r="C2" s="3"/>
      <c r="D2" s="3"/>
      <c r="E2" s="3"/>
      <c r="F2" s="3"/>
      <c r="G2" s="3"/>
      <c r="H2" s="3"/>
      <c r="I2" s="3"/>
      <c r="J2" s="3"/>
      <c r="K2" s="3"/>
      <c r="L2" s="3"/>
    </row>
    <row r="3" spans="1:12" ht="75.75" customHeight="1" x14ac:dyDescent="0.25">
      <c r="A3" s="19" t="s">
        <v>346</v>
      </c>
      <c r="B3" s="146" t="s">
        <v>378</v>
      </c>
    </row>
    <row r="4" spans="1:12" s="54" customFormat="1" ht="26.25" customHeight="1" thickBot="1" x14ac:dyDescent="0.3">
      <c r="A4" s="208" t="s">
        <v>8</v>
      </c>
      <c r="B4" s="98">
        <f>COUNTIF('SERVICE ENTRY'!$B$4:$B$1190, A4)</f>
        <v>0</v>
      </c>
    </row>
    <row r="5" spans="1:12" ht="29.25" customHeight="1" x14ac:dyDescent="0.25">
      <c r="A5" s="166" t="s">
        <v>269</v>
      </c>
      <c r="B5" s="209">
        <f>SUM(B4)</f>
        <v>0</v>
      </c>
    </row>
    <row r="8" spans="1:12" ht="42.75" customHeight="1" x14ac:dyDescent="0.25">
      <c r="A8" s="19" t="s">
        <v>89</v>
      </c>
      <c r="B8" s="19" t="s">
        <v>160</v>
      </c>
    </row>
    <row r="9" spans="1:12" ht="24" customHeight="1" x14ac:dyDescent="0.25">
      <c r="A9" s="68" t="s">
        <v>109</v>
      </c>
      <c r="B9" s="42">
        <f>COUNTIF('SERVICE ENTRY'!$D$4:$D$1200, A9)</f>
        <v>0</v>
      </c>
    </row>
    <row r="10" spans="1:12" ht="21" customHeight="1" x14ac:dyDescent="0.25">
      <c r="A10" s="68" t="s">
        <v>123</v>
      </c>
      <c r="B10" s="42">
        <f>COUNTIF('SERVICE ENTRY'!$D$4:$D$1200, A10)</f>
        <v>0</v>
      </c>
    </row>
    <row r="11" spans="1:12" ht="21.75" customHeight="1" x14ac:dyDescent="0.25">
      <c r="A11" s="68" t="s">
        <v>110</v>
      </c>
      <c r="B11" s="42">
        <f>COUNTIF('SERVICE ENTRY'!$D$4:$D$1200, A11)</f>
        <v>0</v>
      </c>
    </row>
    <row r="12" spans="1:12" ht="22.5" customHeight="1" x14ac:dyDescent="0.25">
      <c r="A12" s="68" t="s">
        <v>192</v>
      </c>
      <c r="B12" s="42">
        <f>COUNTIF('SERVICE ENTRY'!$D$4:$D$1200, A12)</f>
        <v>0</v>
      </c>
    </row>
    <row r="13" spans="1:12" ht="25.5" customHeight="1" thickBot="1" x14ac:dyDescent="0.3">
      <c r="A13" s="113" t="s">
        <v>124</v>
      </c>
      <c r="B13" s="98">
        <f>COUNTIF('SERVICE ENTRY'!$D$4:$D$1200, A13)</f>
        <v>0</v>
      </c>
    </row>
    <row r="14" spans="1:12" ht="29.25" customHeight="1" x14ac:dyDescent="0.25">
      <c r="A14" s="166" t="s">
        <v>269</v>
      </c>
      <c r="B14" s="209">
        <f>SUM(B9:B13)</f>
        <v>0</v>
      </c>
    </row>
    <row r="17" spans="1:2" ht="30" x14ac:dyDescent="0.25">
      <c r="A17" s="19" t="s">
        <v>90</v>
      </c>
      <c r="B17" s="19" t="s">
        <v>159</v>
      </c>
    </row>
    <row r="18" spans="1:2" ht="23.25" customHeight="1" x14ac:dyDescent="0.25">
      <c r="A18" s="68" t="s">
        <v>0</v>
      </c>
      <c r="B18" s="42">
        <f>COUNTIF('SERVICE ENTRY'!$E$4:$E$1200, A18)</f>
        <v>0</v>
      </c>
    </row>
    <row r="19" spans="1:2" ht="21.75" customHeight="1" x14ac:dyDescent="0.25">
      <c r="A19" s="68" t="s">
        <v>108</v>
      </c>
      <c r="B19" s="42">
        <f>COUNTIF('SERVICE ENTRY'!$E$4:$E$1200, A19)</f>
        <v>0</v>
      </c>
    </row>
    <row r="20" spans="1:2" ht="21.75" customHeight="1" x14ac:dyDescent="0.25">
      <c r="A20" s="68" t="s">
        <v>111</v>
      </c>
      <c r="B20" s="42">
        <f>COUNTIF('SERVICE ENTRY'!$E$4:$E$1200, A20)</f>
        <v>0</v>
      </c>
    </row>
    <row r="21" spans="1:2" ht="23.25" customHeight="1" x14ac:dyDescent="0.25">
      <c r="A21" s="68" t="s">
        <v>125</v>
      </c>
      <c r="B21" s="42">
        <f>COUNTIF('SERVICE ENTRY'!$E$4:$E$1200, A21)</f>
        <v>0</v>
      </c>
    </row>
    <row r="22" spans="1:2" ht="23.25" customHeight="1" thickBot="1" x14ac:dyDescent="0.3">
      <c r="A22" s="113" t="s">
        <v>122</v>
      </c>
      <c r="B22" s="98">
        <f>COUNTIF('SERVICE ENTRY'!$E$4:$E$1200, A22)</f>
        <v>0</v>
      </c>
    </row>
    <row r="23" spans="1:2" ht="27.75" customHeight="1" x14ac:dyDescent="0.25">
      <c r="A23" s="166" t="s">
        <v>269</v>
      </c>
      <c r="B23" s="209">
        <f>SUM(B18:B22)</f>
        <v>0</v>
      </c>
    </row>
    <row r="26" spans="1:2" ht="45" customHeight="1" x14ac:dyDescent="0.25">
      <c r="A26" s="19" t="s">
        <v>312</v>
      </c>
      <c r="B26" s="7" t="s">
        <v>314</v>
      </c>
    </row>
    <row r="27" spans="1:2" ht="30" x14ac:dyDescent="0.25">
      <c r="A27" s="68" t="s">
        <v>128</v>
      </c>
      <c r="B27" s="42">
        <f>COUNTIF('SERVICE ENTRY'!$G$4:$G$1200,A27)</f>
        <v>0</v>
      </c>
    </row>
    <row r="28" spans="1:2" ht="23.25" customHeight="1" x14ac:dyDescent="0.25">
      <c r="A28" s="68" t="s">
        <v>127</v>
      </c>
      <c r="B28" s="42">
        <f>COUNTIF('SERVICE ENTRY'!$G$4:$G$1200,A28)</f>
        <v>0</v>
      </c>
    </row>
    <row r="29" spans="1:2" ht="34.5" customHeight="1" x14ac:dyDescent="0.25">
      <c r="A29" s="68" t="s">
        <v>126</v>
      </c>
      <c r="B29" s="42">
        <f>COUNTIF('SERVICE ENTRY'!$G$4:$G$1200,A29)</f>
        <v>0</v>
      </c>
    </row>
    <row r="30" spans="1:2" ht="38.25" customHeight="1" x14ac:dyDescent="0.25">
      <c r="A30" s="68" t="s">
        <v>372</v>
      </c>
      <c r="B30" s="42">
        <f>COUNTIF('SERVICE ENTRY'!$G$4:$G$1200,A30)</f>
        <v>0</v>
      </c>
    </row>
    <row r="31" spans="1:2" ht="35.25" customHeight="1" x14ac:dyDescent="0.25">
      <c r="A31" s="68" t="s">
        <v>129</v>
      </c>
      <c r="B31" s="42">
        <f>COUNTIF('SERVICE ENTRY'!$G$4:$G$1200,A31)</f>
        <v>0</v>
      </c>
    </row>
    <row r="32" spans="1:2" ht="27" customHeight="1" x14ac:dyDescent="0.25">
      <c r="A32" s="68" t="s">
        <v>63</v>
      </c>
      <c r="B32" s="42">
        <f>COUNTIF('SERVICE ENTRY'!$G$4:$G$1200,A32)</f>
        <v>0</v>
      </c>
    </row>
    <row r="33" spans="1:2" ht="30.75" customHeight="1" thickBot="1" x14ac:dyDescent="0.3">
      <c r="A33" s="113" t="s">
        <v>387</v>
      </c>
      <c r="B33" s="98">
        <f>COUNTIF('SERVICE ENTRY'!$G$4:$G$1200,A33)</f>
        <v>0</v>
      </c>
    </row>
    <row r="34" spans="1:2" ht="29.25" customHeight="1" x14ac:dyDescent="0.25">
      <c r="A34" s="166" t="s">
        <v>269</v>
      </c>
      <c r="B34" s="209">
        <f>SUM(B27:B33)</f>
        <v>0</v>
      </c>
    </row>
    <row r="37" spans="1:2" ht="38.25" customHeight="1" x14ac:dyDescent="0.25">
      <c r="A37" s="19" t="s">
        <v>310</v>
      </c>
      <c r="B37" s="19" t="s">
        <v>313</v>
      </c>
    </row>
    <row r="38" spans="1:2" ht="30.75" customHeight="1" x14ac:dyDescent="0.25">
      <c r="A38" s="68" t="s">
        <v>375</v>
      </c>
      <c r="B38" s="42">
        <f>COUNTIF('SERVICE ENTRY'!$F$4:$F$1200,'Demographics Report'!A38)</f>
        <v>0</v>
      </c>
    </row>
    <row r="39" spans="1:2" ht="24.75" customHeight="1" x14ac:dyDescent="0.25">
      <c r="A39" s="68" t="s">
        <v>368</v>
      </c>
      <c r="B39" s="42">
        <f>COUNTIF('SERVICE ENTRY'!$F$4:$F$1200,'Demographics Report'!A39)</f>
        <v>0</v>
      </c>
    </row>
    <row r="40" spans="1:2" ht="27" customHeight="1" x14ac:dyDescent="0.25">
      <c r="A40" s="68" t="s">
        <v>369</v>
      </c>
      <c r="B40" s="42">
        <f>COUNTIF('SERVICE ENTRY'!$F$4:$F$1200,'Demographics Report'!A40)</f>
        <v>0</v>
      </c>
    </row>
    <row r="41" spans="1:2" ht="37.5" customHeight="1" x14ac:dyDescent="0.25">
      <c r="A41" s="68" t="s">
        <v>366</v>
      </c>
      <c r="B41" s="42">
        <f>COUNTIF('SERVICE ENTRY'!$F$4:$F$1200,'Demographics Report'!A41)</f>
        <v>0</v>
      </c>
    </row>
    <row r="42" spans="1:2" ht="30" customHeight="1" x14ac:dyDescent="0.25">
      <c r="A42" s="68" t="s">
        <v>367</v>
      </c>
      <c r="B42" s="42">
        <f>COUNTIF('SERVICE ENTRY'!$F$4:$F$1200,'Demographics Report'!A42)</f>
        <v>0</v>
      </c>
    </row>
    <row r="43" spans="1:2" ht="30.75" customHeight="1" x14ac:dyDescent="0.25">
      <c r="A43" s="68" t="s">
        <v>370</v>
      </c>
      <c r="B43" s="42">
        <f>COUNTIF('SERVICE ENTRY'!$F$4:$F$1200,'Demographics Report'!A43)</f>
        <v>0</v>
      </c>
    </row>
    <row r="44" spans="1:2" ht="45" x14ac:dyDescent="0.25">
      <c r="A44" s="68" t="s">
        <v>371</v>
      </c>
      <c r="B44" s="42">
        <f>COUNTIF('SERVICE ENTRY'!$F$4:$F$1200,'Demographics Report'!A44)</f>
        <v>0</v>
      </c>
    </row>
    <row r="45" spans="1:2" ht="45" x14ac:dyDescent="0.25">
      <c r="A45" s="68" t="s">
        <v>365</v>
      </c>
      <c r="B45" s="42">
        <f>COUNTIF('SERVICE ENTRY'!$F$4:$F$1200,'Demographics Report'!A45)</f>
        <v>0</v>
      </c>
    </row>
    <row r="46" spans="1:2" ht="30.75" customHeight="1" thickBot="1" x14ac:dyDescent="0.3">
      <c r="A46" s="113" t="s">
        <v>387</v>
      </c>
      <c r="B46" s="98">
        <f>COUNTIF('SERVICE ENTRY'!$F$4:$F$1200,'Demographics Report'!A46)</f>
        <v>0</v>
      </c>
    </row>
    <row r="47" spans="1:2" ht="29.25" customHeight="1" x14ac:dyDescent="0.25">
      <c r="A47" s="166" t="s">
        <v>269</v>
      </c>
      <c r="B47" s="209">
        <f>SUM(B38:B46)</f>
        <v>0</v>
      </c>
    </row>
    <row r="50" spans="1:2" ht="45" x14ac:dyDescent="0.25">
      <c r="A50" s="19" t="s">
        <v>200</v>
      </c>
      <c r="B50" s="20" t="s">
        <v>158</v>
      </c>
    </row>
    <row r="51" spans="1:2" ht="22.5" customHeight="1" x14ac:dyDescent="0.25">
      <c r="A51" s="68" t="s">
        <v>260</v>
      </c>
      <c r="B51" s="42">
        <f>COUNTIF('SERVICE ENTRY'!$H$4:$I$1200, A51)</f>
        <v>0</v>
      </c>
    </row>
    <row r="52" spans="1:2" ht="23.25" customHeight="1" x14ac:dyDescent="0.25">
      <c r="A52" s="68" t="s">
        <v>261</v>
      </c>
      <c r="B52" s="42">
        <f>COUNTIF('SERVICE ENTRY'!$H$4:$I$1200, A52)</f>
        <v>0</v>
      </c>
    </row>
    <row r="53" spans="1:2" ht="29.25" customHeight="1" x14ac:dyDescent="0.25">
      <c r="A53" s="68" t="s">
        <v>302</v>
      </c>
      <c r="B53" s="42">
        <f>COUNTIF('SERVICE ENTRY'!$H$4:$I$1200, A53)</f>
        <v>0</v>
      </c>
    </row>
    <row r="54" spans="1:2" ht="30" x14ac:dyDescent="0.25">
      <c r="A54" s="68" t="s">
        <v>303</v>
      </c>
      <c r="B54" s="42">
        <f>COUNTIF('SERVICE ENTRY'!$H$4:$I$1200, A54)</f>
        <v>0</v>
      </c>
    </row>
    <row r="55" spans="1:2" ht="30" x14ac:dyDescent="0.25">
      <c r="A55" s="68" t="s">
        <v>304</v>
      </c>
      <c r="B55" s="42">
        <f>COUNTIF('SERVICE ENTRY'!$H$4:$I$1200, A55)</f>
        <v>0</v>
      </c>
    </row>
    <row r="56" spans="1:2" ht="30" x14ac:dyDescent="0.25">
      <c r="A56" s="68" t="s">
        <v>305</v>
      </c>
      <c r="B56" s="42">
        <f>COUNTIF('SERVICE ENTRY'!$H$4:$I$1200, A56)</f>
        <v>0</v>
      </c>
    </row>
    <row r="57" spans="1:2" ht="23.25" customHeight="1" x14ac:dyDescent="0.25">
      <c r="A57" s="68" t="s">
        <v>306</v>
      </c>
      <c r="B57" s="42">
        <f>COUNTIF('SERVICE ENTRY'!$H$4:$I$1200, A57)</f>
        <v>0</v>
      </c>
    </row>
    <row r="58" spans="1:2" ht="27" customHeight="1" x14ac:dyDescent="0.25">
      <c r="A58" s="68" t="s">
        <v>307</v>
      </c>
      <c r="B58" s="42">
        <f>COUNTIF('SERVICE ENTRY'!$H$4:$I$1200, A58)</f>
        <v>0</v>
      </c>
    </row>
    <row r="59" spans="1:2" ht="24.75" customHeight="1" thickBot="1" x14ac:dyDescent="0.3">
      <c r="A59" s="208" t="s">
        <v>329</v>
      </c>
      <c r="B59" s="98">
        <f>COUNTIF('SERVICE ENTRY'!$H$4:$I$1200, A59)</f>
        <v>0</v>
      </c>
    </row>
    <row r="60" spans="1:2" ht="34.5" customHeight="1" x14ac:dyDescent="0.25">
      <c r="A60" s="166" t="s">
        <v>269</v>
      </c>
      <c r="B60" s="209">
        <f>SUM(B51:B59)</f>
        <v>0</v>
      </c>
    </row>
  </sheetData>
  <sheetProtection algorithmName="SHA-512" hashValue="gQDhHpF0qD1OPPOAiLEKxjChcUTBe8kQmMtfTR+Zn0KEAj9a9IIKL8qJgIM4LkRvMGNRjn/WJS/oX+0to9SZCg==" saltValue="e44a/Gcp+LDyZMFE+Ykmxg==" spinCount="100000" sheet="1" objects="1" scenarios="1"/>
  <mergeCells count="1">
    <mergeCell ref="A1: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sheetPr>
  <dimension ref="A1:L59"/>
  <sheetViews>
    <sheetView zoomScale="70" zoomScaleNormal="70" workbookViewId="0">
      <selection activeCell="D22" sqref="D22"/>
    </sheetView>
  </sheetViews>
  <sheetFormatPr defaultRowHeight="14.25" x14ac:dyDescent="0.2"/>
  <cols>
    <col min="1" max="1" width="41.140625" style="16" customWidth="1"/>
    <col min="2" max="2" width="31" style="16" customWidth="1"/>
    <col min="3" max="3" width="30.7109375" style="15" customWidth="1"/>
    <col min="4" max="4" width="30.28515625" style="15" customWidth="1"/>
    <col min="5" max="5" width="30.42578125" style="15" customWidth="1"/>
    <col min="6" max="7" width="29.42578125" style="15" customWidth="1"/>
    <col min="8" max="9" width="29.85546875" style="15" customWidth="1"/>
    <col min="10" max="10" width="23.28515625" style="15" customWidth="1"/>
    <col min="11" max="12" width="29.140625" style="15" customWidth="1"/>
    <col min="13" max="16384" width="9.140625" style="3"/>
  </cols>
  <sheetData>
    <row r="1" spans="1:12" ht="29.25" customHeight="1" x14ac:dyDescent="0.2">
      <c r="A1" s="375" t="s">
        <v>347</v>
      </c>
      <c r="B1" s="376"/>
      <c r="C1" s="376"/>
      <c r="D1" s="376"/>
      <c r="E1" s="376"/>
      <c r="F1" s="376"/>
      <c r="G1" s="376"/>
      <c r="H1" s="376"/>
      <c r="I1" s="376"/>
      <c r="J1" s="376"/>
      <c r="K1" s="376"/>
      <c r="L1" s="179"/>
    </row>
    <row r="2" spans="1:12" ht="37.5" customHeight="1" x14ac:dyDescent="0.2">
      <c r="A2" s="377" t="s">
        <v>348</v>
      </c>
      <c r="B2" s="378"/>
      <c r="C2" s="378"/>
      <c r="D2" s="378"/>
      <c r="E2" s="378"/>
      <c r="F2" s="378"/>
      <c r="G2" s="378"/>
      <c r="H2" s="378"/>
      <c r="I2" s="378"/>
      <c r="J2" s="378"/>
      <c r="K2" s="378"/>
      <c r="L2" s="180"/>
    </row>
    <row r="3" spans="1:12" ht="15" customHeight="1" x14ac:dyDescent="0.2">
      <c r="A3" s="385" t="s">
        <v>255</v>
      </c>
      <c r="B3" s="385" t="s">
        <v>323</v>
      </c>
      <c r="C3" s="379" t="s">
        <v>326</v>
      </c>
      <c r="D3" s="380"/>
      <c r="E3" s="380"/>
      <c r="F3" s="380"/>
      <c r="G3" s="380"/>
      <c r="H3" s="380"/>
      <c r="I3" s="381"/>
      <c r="J3" s="385" t="s">
        <v>327</v>
      </c>
      <c r="K3" s="385"/>
      <c r="L3" s="385"/>
    </row>
    <row r="4" spans="1:12" ht="26.25" customHeight="1" x14ac:dyDescent="0.2">
      <c r="A4" s="385"/>
      <c r="B4" s="388"/>
      <c r="C4" s="382"/>
      <c r="D4" s="383"/>
      <c r="E4" s="383"/>
      <c r="F4" s="383"/>
      <c r="G4" s="383"/>
      <c r="H4" s="383"/>
      <c r="I4" s="384"/>
      <c r="J4" s="385"/>
      <c r="K4" s="385"/>
      <c r="L4" s="385"/>
    </row>
    <row r="5" spans="1:12" s="172" customFormat="1" ht="12" customHeight="1" x14ac:dyDescent="0.2">
      <c r="A5" s="173"/>
      <c r="B5" s="174"/>
      <c r="C5" s="173"/>
      <c r="D5" s="173"/>
      <c r="E5" s="173"/>
      <c r="F5" s="173"/>
      <c r="G5" s="173"/>
      <c r="H5" s="173"/>
      <c r="I5" s="173"/>
      <c r="J5" s="174"/>
      <c r="K5" s="174"/>
      <c r="L5" s="174"/>
    </row>
    <row r="6" spans="1:12" s="172" customFormat="1" ht="12" customHeight="1" x14ac:dyDescent="0.2">
      <c r="A6" s="173"/>
      <c r="B6" s="174"/>
      <c r="C6" s="173"/>
      <c r="D6" s="173"/>
      <c r="E6" s="173"/>
      <c r="F6" s="173"/>
      <c r="G6" s="173"/>
      <c r="H6" s="173"/>
      <c r="I6" s="173"/>
      <c r="J6" s="174"/>
      <c r="K6" s="174"/>
      <c r="L6" s="174"/>
    </row>
    <row r="7" spans="1:12" ht="66" customHeight="1" x14ac:dyDescent="0.2">
      <c r="A7" s="136" t="s">
        <v>383</v>
      </c>
      <c r="B7" s="190" t="s">
        <v>360</v>
      </c>
      <c r="C7" s="194" t="s">
        <v>250</v>
      </c>
      <c r="D7" s="135" t="s">
        <v>251</v>
      </c>
      <c r="E7" s="135" t="s">
        <v>246</v>
      </c>
      <c r="F7" s="135" t="s">
        <v>373</v>
      </c>
      <c r="G7" s="135" t="s">
        <v>252</v>
      </c>
      <c r="H7" s="190" t="s">
        <v>248</v>
      </c>
      <c r="I7" s="190" t="s">
        <v>388</v>
      </c>
      <c r="J7" s="194" t="s">
        <v>247</v>
      </c>
      <c r="K7" s="135" t="s">
        <v>324</v>
      </c>
      <c r="L7" s="135" t="s">
        <v>388</v>
      </c>
    </row>
    <row r="8" spans="1:12" ht="13.5" customHeight="1" x14ac:dyDescent="0.25">
      <c r="A8" s="68" t="s">
        <v>173</v>
      </c>
      <c r="B8" s="106">
        <f>COUNTIFS('SERVICE ENTRY'!$AG$4:$AG$1200, 'Breast Cancers Diagnosed Report'!A8, 'SERVICE ENTRY'!$AL$4:$AL$1200,"")</f>
        <v>0</v>
      </c>
      <c r="C8" s="92">
        <f>COUNTIFS('SERVICE ENTRY'!$AG$4:$AG$1200,'Breast Cancers Diagnosed Report'!A8, 'SERVICE ENTRY'!$G$4:$G$1200, "American Indian or Alaska Native",'SERVICE ENTRY'!$AL$4:$AL$1200,"")</f>
        <v>0</v>
      </c>
      <c r="D8" s="42">
        <f>COUNTIFS('SERVICE ENTRY'!$AG$4:$AG$1200,'Breast Cancers Diagnosed Report'!A8, 'SERVICE ENTRY'!$G$4:$G$1200, "Asian",'SERVICE ENTRY'!$AL$4:$AL$1200,"")</f>
        <v>0</v>
      </c>
      <c r="E8" s="42">
        <f>COUNTIFS('SERVICE ENTRY'!$AG$4:$AG$1200,'Breast Cancers Diagnosed Report'!A8, 'SERVICE ENTRY'!$G$4:$G$1200, "Black/African-American",'SERVICE ENTRY'!$AL$4:$AL$1200,"")</f>
        <v>0</v>
      </c>
      <c r="F8" s="42">
        <f>COUNTIFS('SERVICE ENTRY'!$AG$4:$AG$1200,'Breast Cancers Diagnosed Report'!A8, 'SERVICE ENTRY'!$G$4:$G$1200, "Middle Eastern or North African",'SERVICE ENTRY'!$AL$4:$AL$1200,"")</f>
        <v>0</v>
      </c>
      <c r="G8" s="42">
        <f>COUNTIFS('SERVICE ENTRY'!$AG$4:$AG$1200,'Breast Cancers Diagnosed Report'!B8, 'SERVICE ENTRY'!$G$4:$G$1200, "Native Hawaiian or Pacific Islander",'SERVICE ENTRY'!$AL$4:$AL$1200,"")</f>
        <v>0</v>
      </c>
      <c r="H8" s="100">
        <f>COUNTIFS('SERVICE ENTRY'!$AG$4:$AG$1200,'Breast Cancers Diagnosed Report'!A8, 'SERVICE ENTRY'!$G$4:$G$1200, "White",'SERVICE ENTRY'!$AL$4:$AL$1200,"")</f>
        <v>0</v>
      </c>
      <c r="I8" s="100">
        <f>COUNTIFS('SERVICE ENTRY'!$AG$4:$AG$1200,'Breast Cancers Diagnosed Report'!A8, 'SERVICE ENTRY'!$G$4:$G$1200, "Unknown or Other",'SERVICE ENTRY'!$AL$4:$AL$1200,"")</f>
        <v>0</v>
      </c>
      <c r="J8" s="102">
        <f>COUNTIFS('SERVICE ENTRY'!$AG$4:$AG$1200,'Breast Cancers Diagnosed Report'!A8, 'SERVICE ENTRY'!$F$4:$F$1200, "Colombian",'SERVICE ENTRY'!$AL$4:$AL$1200,"")+COUNTIFS('SERVICE ENTRY'!$AG$4:$AG$1200,'Breast Cancers Diagnosed Report'!A8, 'SERVICE ENTRY'!$F$4:$F$1200, "Cuban",'SERVICE ENTRY'!$AL$4:$AL$1200,"")+COUNTIFS('SERVICE ENTRY'!$AG$4:$AG$1200,'Breast Cancers Diagnosed Report'!A8, 'SERVICE ENTRY'!$F$4:$F$1200, "Dominican",'SERVICE ENTRY'!$AL$4:$AL$1200,"")+COUNTIFS('SERVICE ENTRY'!$AG$4:$AG$1200,'Breast Cancers Diagnosed Report'!A8, 'SERVICE ENTRY'!$F$4:$F$1200, "Mexican/Mexican-American/Chicano",'SERVICE ENTRY'!$AL$4:$AL$1200,"")+COUNTIFS('SERVICE ENTRY'!$AG$4:$AG$1200,'Breast Cancers Diagnosed Report'!A8, 'SERVICE ENTRY'!$F$4:$F$1200, "Puerto Rican",'SERVICE ENTRY'!$AL$4:$AL$1200,"")+COUNTIFS('SERVICE ENTRY'!$AG$4:$AG$1200,'Breast Cancers Diagnosed Report'!A8, 'SERVICE ENTRY'!$F$4:$F$1200, "Salvadoran",'SERVICE ENTRY'!$AL$4:$AL$1200,"")+COUNTIFS('SERVICE ENTRY'!$AG$4:$AG$1200,'Breast Cancers Diagnosed Report'!A8, 'SERVICE ENTRY'!$F$4:$F$1200, "Other Hispanic.Latino/Spanish origin",'SERVICE ENTRY'!$AL$4:$AL$1200,"")</f>
        <v>0</v>
      </c>
      <c r="K8" s="210">
        <f>COUNTIFS('SERVICE ENTRY'!$AG$4:$AG$1200,'Breast Cancers Diagnosed Report'!A8, 'SERVICE ENTRY'!$F$4:$F$1200, "Not of Hispanic/Latino/Spanish origin",'SERVICE ENTRY'!$AL$4:$AL$1200,"")</f>
        <v>0</v>
      </c>
      <c r="L8" s="210">
        <f>COUNTIFS('SERVICE ENTRY'!$AG$4:$AG$1200,'Breast Cancers Diagnosed Report'!A8, 'SERVICE ENTRY'!$F$4:$F$1200, "Unknown or Other",'SERVICE ENTRY'!$AL$4:$AL$1200,"")</f>
        <v>0</v>
      </c>
    </row>
    <row r="9" spans="1:12" ht="15" x14ac:dyDescent="0.25">
      <c r="A9" s="68" t="s">
        <v>174</v>
      </c>
      <c r="B9" s="106">
        <f>COUNTIFS('SERVICE ENTRY'!$AG$4:$AG$1200, 'Breast Cancers Diagnosed Report'!A9, 'SERVICE ENTRY'!$AL$4:$AL$1200,"")</f>
        <v>0</v>
      </c>
      <c r="C9" s="92">
        <f>COUNTIFS('SERVICE ENTRY'!$AG$4:$AG$1200,'Breast Cancers Diagnosed Report'!A9, 'SERVICE ENTRY'!$G$4:$G$1200, "American Indian or Alaska Native",'SERVICE ENTRY'!$AL$4:$AL$1200,"")</f>
        <v>0</v>
      </c>
      <c r="D9" s="42">
        <f>COUNTIFS('SERVICE ENTRY'!$AG$4:$AG$1200,'Breast Cancers Diagnosed Report'!A9, 'SERVICE ENTRY'!$G$4:$G$1200, "Asian",'SERVICE ENTRY'!$AL$4:$AL$1200,"")</f>
        <v>0</v>
      </c>
      <c r="E9" s="42">
        <f>COUNTIFS('SERVICE ENTRY'!$AG$4:$AG$1200,'Breast Cancers Diagnosed Report'!A9, 'SERVICE ENTRY'!$G$4:$G$1200, "Black/African-American",'SERVICE ENTRY'!$AL$4:$AL$1200,"")</f>
        <v>0</v>
      </c>
      <c r="F9" s="42">
        <f>COUNTIFS('SERVICE ENTRY'!$AG$4:$AG$1200,'Breast Cancers Diagnosed Report'!A9, 'SERVICE ENTRY'!$G$4:$G$1200, "Middle Eastern or North African",'SERVICE ENTRY'!$AL$4:$AL$1200,"")</f>
        <v>0</v>
      </c>
      <c r="G9" s="42">
        <f>COUNTIFS('SERVICE ENTRY'!$AG$4:$AG$1200,'Breast Cancers Diagnosed Report'!B9, 'SERVICE ENTRY'!$G$4:$G$1200, "Native Hawaiian or Pacific Islander",'SERVICE ENTRY'!$AL$4:$AL$1200,"")</f>
        <v>0</v>
      </c>
      <c r="H9" s="100">
        <f>COUNTIFS('SERVICE ENTRY'!$AG$4:$AG$1200,'Breast Cancers Diagnosed Report'!A9, 'SERVICE ENTRY'!$G$4:$G$1200, "White",'SERVICE ENTRY'!$AL$4:$AL$1200,"")</f>
        <v>0</v>
      </c>
      <c r="I9" s="100">
        <f>COUNTIFS('SERVICE ENTRY'!$AG$4:$AG$1200,'Breast Cancers Diagnosed Report'!A9, 'SERVICE ENTRY'!$G$4:$G$1200, "Unknown or Other",'SERVICE ENTRY'!$AL$4:$AL$1200,"")</f>
        <v>0</v>
      </c>
      <c r="J9" s="102">
        <f>COUNTIFS('SERVICE ENTRY'!$AG$4:$AG$1200,'Breast Cancers Diagnosed Report'!A9, 'SERVICE ENTRY'!$F$4:$F$1200, "Colombian",'SERVICE ENTRY'!$AL$4:$AL$1200,"")+COUNTIFS('SERVICE ENTRY'!$AG$4:$AG$1200,'Breast Cancers Diagnosed Report'!A9, 'SERVICE ENTRY'!$F$4:$F$1200, "Cuban",'SERVICE ENTRY'!$AL$4:$AL$1200,"")+COUNTIFS('SERVICE ENTRY'!$AG$4:$AG$1200,'Breast Cancers Diagnosed Report'!A9, 'SERVICE ENTRY'!$F$4:$F$1200, "Dominican",'SERVICE ENTRY'!$AL$4:$AL$1200,"")+COUNTIFS('SERVICE ENTRY'!$AG$4:$AG$1200,'Breast Cancers Diagnosed Report'!A9, 'SERVICE ENTRY'!$F$4:$F$1200, "Mexican/Mexican-American/Chicano",'SERVICE ENTRY'!$AL$4:$AL$1200,"")+COUNTIFS('SERVICE ENTRY'!$AG$4:$AG$1200,'Breast Cancers Diagnosed Report'!A9, 'SERVICE ENTRY'!$F$4:$F$1200, "Puerto Rican",'SERVICE ENTRY'!$AL$4:$AL$1200,"")+COUNTIFS('SERVICE ENTRY'!$AG$4:$AG$1200,'Breast Cancers Diagnosed Report'!A9, 'SERVICE ENTRY'!$F$4:$F$1200, "Salvadoran",'SERVICE ENTRY'!$AL$4:$AL$1200,"")+COUNTIFS('SERVICE ENTRY'!$AG$4:$AG$1200,'Breast Cancers Diagnosed Report'!A9, 'SERVICE ENTRY'!$F$4:$F$1200, "Other Hispanic.Latino/Spanish origin",'SERVICE ENTRY'!$AL$4:$AL$1200,"")</f>
        <v>0</v>
      </c>
      <c r="K9" s="210">
        <f>COUNTIFS('SERVICE ENTRY'!$AG$4:$AG$1200,'Breast Cancers Diagnosed Report'!A9, 'SERVICE ENTRY'!$F$4:$F$1200, "Not of Hispanic/Latino/Spanish origin",'SERVICE ENTRY'!$AL$4:$AL$1200,"")</f>
        <v>0</v>
      </c>
      <c r="L9" s="210">
        <f>COUNTIFS('SERVICE ENTRY'!$AG$4:$AG$1200,'Breast Cancers Diagnosed Report'!A9, 'SERVICE ENTRY'!$F$4:$F$1200, "Unknown or Other",'SERVICE ENTRY'!$AL$4:$AL$1200,"")</f>
        <v>0</v>
      </c>
    </row>
    <row r="10" spans="1:12" ht="15" x14ac:dyDescent="0.25">
      <c r="A10" s="68" t="s">
        <v>99</v>
      </c>
      <c r="B10" s="106">
        <f>COUNTIFS('SERVICE ENTRY'!$AG$4:$AG$1200, 'Breast Cancers Diagnosed Report'!A10, 'SERVICE ENTRY'!$AL$4:$AL$1200,"")</f>
        <v>0</v>
      </c>
      <c r="C10" s="92">
        <f>COUNTIFS('SERVICE ENTRY'!$AG$4:$AG$1200,'Breast Cancers Diagnosed Report'!A10, 'SERVICE ENTRY'!$G$4:$G$1200, "American Indian or Alaska Native",'SERVICE ENTRY'!$AL$4:$AL$1200,"")</f>
        <v>0</v>
      </c>
      <c r="D10" s="42">
        <f>COUNTIFS('SERVICE ENTRY'!$AG$4:$AG$1200,'Breast Cancers Diagnosed Report'!A10, 'SERVICE ENTRY'!$G$4:$G$1200, "Asian",'SERVICE ENTRY'!$AL$4:$AL$1200,"")</f>
        <v>0</v>
      </c>
      <c r="E10" s="42">
        <f>COUNTIFS('SERVICE ENTRY'!$AG$4:$AG$1200,'Breast Cancers Diagnosed Report'!A10, 'SERVICE ENTRY'!$G$4:$G$1200, "Black/African-American",'SERVICE ENTRY'!$AL$4:$AL$1200,"")</f>
        <v>0</v>
      </c>
      <c r="F10" s="42">
        <f>COUNTIFS('SERVICE ENTRY'!$AG$4:$AG$1200,'Breast Cancers Diagnosed Report'!A10, 'SERVICE ENTRY'!$G$4:$G$1200, "Middle Eastern or North African",'SERVICE ENTRY'!$AL$4:$AL$1200,"")</f>
        <v>0</v>
      </c>
      <c r="G10" s="42">
        <f>COUNTIFS('SERVICE ENTRY'!$AG$4:$AG$1200,'Breast Cancers Diagnosed Report'!B10, 'SERVICE ENTRY'!$G$4:$G$1200, "Native Hawaiian or Pacific Islander",'SERVICE ENTRY'!$AL$4:$AL$1200,"")</f>
        <v>0</v>
      </c>
      <c r="H10" s="100">
        <f>COUNTIFS('SERVICE ENTRY'!$AG$4:$AG$1200,'Breast Cancers Diagnosed Report'!A10, 'SERVICE ENTRY'!$G$4:$G$1200, "White",'SERVICE ENTRY'!$AL$4:$AL$1200,"")</f>
        <v>0</v>
      </c>
      <c r="I10" s="100">
        <f>COUNTIFS('SERVICE ENTRY'!$AG$4:$AG$1200,'Breast Cancers Diagnosed Report'!A10, 'SERVICE ENTRY'!$G$4:$G$1200, "Unknown or Other",'SERVICE ENTRY'!$AL$4:$AL$1200,"")</f>
        <v>0</v>
      </c>
      <c r="J10" s="102">
        <f>COUNTIFS('SERVICE ENTRY'!$AG$4:$AG$1200,'Breast Cancers Diagnosed Report'!A10, 'SERVICE ENTRY'!$F$4:$F$1200, "Colombian",'SERVICE ENTRY'!$AL$4:$AL$1200,"")+COUNTIFS('SERVICE ENTRY'!$AG$4:$AG$1200,'Breast Cancers Diagnosed Report'!A10, 'SERVICE ENTRY'!$F$4:$F$1200, "Cuban",'SERVICE ENTRY'!$AL$4:$AL$1200,"")+COUNTIFS('SERVICE ENTRY'!$AG$4:$AG$1200,'Breast Cancers Diagnosed Report'!A10, 'SERVICE ENTRY'!$F$4:$F$1200, "Dominican",'SERVICE ENTRY'!$AL$4:$AL$1200,"")+COUNTIFS('SERVICE ENTRY'!$AG$4:$AG$1200,'Breast Cancers Diagnosed Report'!A10, 'SERVICE ENTRY'!$F$4:$F$1200, "Mexican/Mexican-American/Chicano",'SERVICE ENTRY'!$AL$4:$AL$1200,"")+COUNTIFS('SERVICE ENTRY'!$AG$4:$AG$1200,'Breast Cancers Diagnosed Report'!A10, 'SERVICE ENTRY'!$F$4:$F$1200, "Puerto Rican",'SERVICE ENTRY'!$AL$4:$AL$1200,"")+COUNTIFS('SERVICE ENTRY'!$AG$4:$AG$1200,'Breast Cancers Diagnosed Report'!A10, 'SERVICE ENTRY'!$F$4:$F$1200, "Salvadoran",'SERVICE ENTRY'!$AL$4:$AL$1200,"")+COUNTIFS('SERVICE ENTRY'!$AG$4:$AG$1200,'Breast Cancers Diagnosed Report'!A10, 'SERVICE ENTRY'!$F$4:$F$1200, "Other Hispanic.Latino/Spanish origin",'SERVICE ENTRY'!$AL$4:$AL$1200,"")</f>
        <v>0</v>
      </c>
      <c r="K10" s="210">
        <f>COUNTIFS('SERVICE ENTRY'!$AG$4:$AG$1200,'Breast Cancers Diagnosed Report'!A10, 'SERVICE ENTRY'!$F$4:$F$1200, "Not of Hispanic/Latino/Spanish origin",'SERVICE ENTRY'!$AL$4:$AL$1200,"")</f>
        <v>0</v>
      </c>
      <c r="L10" s="210">
        <f>COUNTIFS('SERVICE ENTRY'!$AG$4:$AG$1200,'Breast Cancers Diagnosed Report'!A10, 'SERVICE ENTRY'!$F$4:$F$1200, "Unknown or Other",'SERVICE ENTRY'!$AL$4:$AL$1200,"")</f>
        <v>0</v>
      </c>
    </row>
    <row r="11" spans="1:12" ht="15" x14ac:dyDescent="0.25">
      <c r="A11" s="68" t="s">
        <v>175</v>
      </c>
      <c r="B11" s="106">
        <f>COUNTIFS('SERVICE ENTRY'!$AG$4:$AG$1200, 'Breast Cancers Diagnosed Report'!A11, 'SERVICE ENTRY'!$AL$4:$AL$1200,"")</f>
        <v>0</v>
      </c>
      <c r="C11" s="92">
        <f>COUNTIFS('SERVICE ENTRY'!$AG$4:$AG$1200,'Breast Cancers Diagnosed Report'!A11, 'SERVICE ENTRY'!$G$4:$G$1200, "American Indian or Alaska Native",'SERVICE ENTRY'!$AL$4:$AL$1200,"")</f>
        <v>0</v>
      </c>
      <c r="D11" s="42">
        <f>COUNTIFS('SERVICE ENTRY'!$AG$4:$AG$1200,'Breast Cancers Diagnosed Report'!A11, 'SERVICE ENTRY'!$G$4:$G$1200, "Asian",'SERVICE ENTRY'!$AL$4:$AL$1200,"")</f>
        <v>0</v>
      </c>
      <c r="E11" s="42">
        <f>COUNTIFS('SERVICE ENTRY'!$AG$4:$AG$1200,'Breast Cancers Diagnosed Report'!A11, 'SERVICE ENTRY'!$G$4:$G$1200, "Black/African-American",'SERVICE ENTRY'!$AL$4:$AL$1200,"")</f>
        <v>0</v>
      </c>
      <c r="F11" s="42">
        <f>COUNTIFS('SERVICE ENTRY'!$AG$4:$AG$1200,'Breast Cancers Diagnosed Report'!A11, 'SERVICE ENTRY'!$G$4:$G$1200, "Middle Eastern or North African",'SERVICE ENTRY'!$AL$4:$AL$1200,"")</f>
        <v>0</v>
      </c>
      <c r="G11" s="42">
        <f>COUNTIFS('SERVICE ENTRY'!$AG$4:$AG$1200,'Breast Cancers Diagnosed Report'!B11, 'SERVICE ENTRY'!$G$4:$G$1200, "Native Hawaiian or Pacific Islander",'SERVICE ENTRY'!$AL$4:$AL$1200,"")</f>
        <v>0</v>
      </c>
      <c r="H11" s="100">
        <f>COUNTIFS('SERVICE ENTRY'!$AG$4:$AG$1200,'Breast Cancers Diagnosed Report'!A11, 'SERVICE ENTRY'!$G$4:$G$1200, "White",'SERVICE ENTRY'!$AL$4:$AL$1200,"")</f>
        <v>0</v>
      </c>
      <c r="I11" s="100">
        <f>COUNTIFS('SERVICE ENTRY'!$AG$4:$AG$1200,'Breast Cancers Diagnosed Report'!A11, 'SERVICE ENTRY'!$G$4:$G$1200, "Unknown or Other",'SERVICE ENTRY'!$AL$4:$AL$1200,"")</f>
        <v>0</v>
      </c>
      <c r="J11" s="102">
        <f>COUNTIFS('SERVICE ENTRY'!$AG$4:$AG$1200,'Breast Cancers Diagnosed Report'!A11, 'SERVICE ENTRY'!$F$4:$F$1200, "Colombian",'SERVICE ENTRY'!$AL$4:$AL$1200,"")+COUNTIFS('SERVICE ENTRY'!$AG$4:$AG$1200,'Breast Cancers Diagnosed Report'!A11, 'SERVICE ENTRY'!$F$4:$F$1200, "Cuban",'SERVICE ENTRY'!$AL$4:$AL$1200,"")+COUNTIFS('SERVICE ENTRY'!$AG$4:$AG$1200,'Breast Cancers Diagnosed Report'!A11, 'SERVICE ENTRY'!$F$4:$F$1200, "Dominican",'SERVICE ENTRY'!$AL$4:$AL$1200,"")+COUNTIFS('SERVICE ENTRY'!$AG$4:$AG$1200,'Breast Cancers Diagnosed Report'!A11, 'SERVICE ENTRY'!$F$4:$F$1200, "Mexican/Mexican-American/Chicano",'SERVICE ENTRY'!$AL$4:$AL$1200,"")+COUNTIFS('SERVICE ENTRY'!$AG$4:$AG$1200,'Breast Cancers Diagnosed Report'!A11, 'SERVICE ENTRY'!$F$4:$F$1200, "Puerto Rican",'SERVICE ENTRY'!$AL$4:$AL$1200,"")+COUNTIFS('SERVICE ENTRY'!$AG$4:$AG$1200,'Breast Cancers Diagnosed Report'!A11, 'SERVICE ENTRY'!$F$4:$F$1200, "Salvadoran",'SERVICE ENTRY'!$AL$4:$AL$1200,"")+COUNTIFS('SERVICE ENTRY'!$AG$4:$AG$1200,'Breast Cancers Diagnosed Report'!A11, 'SERVICE ENTRY'!$F$4:$F$1200, "Other Hispanic.Latino/Spanish origin",'SERVICE ENTRY'!$AL$4:$AL$1200,"")</f>
        <v>0</v>
      </c>
      <c r="K11" s="210">
        <f>COUNTIFS('SERVICE ENTRY'!$AG$4:$AG$1200,'Breast Cancers Diagnosed Report'!A11, 'SERVICE ENTRY'!$F$4:$F$1200, "Not of Hispanic/Latino/Spanish origin",'SERVICE ENTRY'!$AL$4:$AL$1200,"")</f>
        <v>0</v>
      </c>
      <c r="L11" s="210">
        <f>COUNTIFS('SERVICE ENTRY'!$AG$4:$AG$1200,'Breast Cancers Diagnosed Report'!A11, 'SERVICE ENTRY'!$F$4:$F$1200, "Unknown or Other",'SERVICE ENTRY'!$AL$4:$AL$1200,"")</f>
        <v>0</v>
      </c>
    </row>
    <row r="12" spans="1:12" ht="15" x14ac:dyDescent="0.25">
      <c r="A12" s="68" t="s">
        <v>176</v>
      </c>
      <c r="B12" s="106">
        <f>COUNTIFS('SERVICE ENTRY'!$AG$4:$AG$1200, 'Breast Cancers Diagnosed Report'!A12, 'SERVICE ENTRY'!$AL$4:$AL$1200,"")</f>
        <v>0</v>
      </c>
      <c r="C12" s="92">
        <f>COUNTIFS('SERVICE ENTRY'!$AG$4:$AG$1200,'Breast Cancers Diagnosed Report'!A12, 'SERVICE ENTRY'!$G$4:$G$1200, "American Indian or Alaska Native",'SERVICE ENTRY'!$AL$4:$AL$1200,"")</f>
        <v>0</v>
      </c>
      <c r="D12" s="42">
        <f>COUNTIFS('SERVICE ENTRY'!$AG$4:$AG$1200,'Breast Cancers Diagnosed Report'!A12, 'SERVICE ENTRY'!$G$4:$G$1200, "Asian",'SERVICE ENTRY'!$AL$4:$AL$1200,"")</f>
        <v>0</v>
      </c>
      <c r="E12" s="42">
        <f>COUNTIFS('SERVICE ENTRY'!$AG$4:$AG$1200,'Breast Cancers Diagnosed Report'!A12, 'SERVICE ENTRY'!$G$4:$G$1200, "Black/African-American",'SERVICE ENTRY'!$AL$4:$AL$1200,"")</f>
        <v>0</v>
      </c>
      <c r="F12" s="42">
        <f>COUNTIFS('SERVICE ENTRY'!$AG$4:$AG$1200,'Breast Cancers Diagnosed Report'!A12, 'SERVICE ENTRY'!$G$4:$G$1200, "Middle Eastern or North African",'SERVICE ENTRY'!$AL$4:$AL$1200,"")</f>
        <v>0</v>
      </c>
      <c r="G12" s="42">
        <f>COUNTIFS('SERVICE ENTRY'!$AG$4:$AG$1200,'Breast Cancers Diagnosed Report'!B12, 'SERVICE ENTRY'!$G$4:$G$1200, "Native Hawaiian or Pacific Islander",'SERVICE ENTRY'!$AL$4:$AL$1200,"")</f>
        <v>0</v>
      </c>
      <c r="H12" s="100">
        <f>COUNTIFS('SERVICE ENTRY'!$AG$4:$AG$1200,'Breast Cancers Diagnosed Report'!A12, 'SERVICE ENTRY'!$G$4:$G$1200, "White",'SERVICE ENTRY'!$AL$4:$AL$1200,"")</f>
        <v>0</v>
      </c>
      <c r="I12" s="100">
        <f>COUNTIFS('SERVICE ENTRY'!$AG$4:$AG$1200,'Breast Cancers Diagnosed Report'!A12, 'SERVICE ENTRY'!$G$4:$G$1200, "Unknown or Other",'SERVICE ENTRY'!$AL$4:$AL$1200,"")</f>
        <v>0</v>
      </c>
      <c r="J12" s="102">
        <f>COUNTIFS('SERVICE ENTRY'!$AG$4:$AG$1200,'Breast Cancers Diagnosed Report'!A12, 'SERVICE ENTRY'!$F$4:$F$1200, "Colombian",'SERVICE ENTRY'!$AL$4:$AL$1200,"")+COUNTIFS('SERVICE ENTRY'!$AG$4:$AG$1200,'Breast Cancers Diagnosed Report'!A12, 'SERVICE ENTRY'!$F$4:$F$1200, "Cuban",'SERVICE ENTRY'!$AL$4:$AL$1200,"")+COUNTIFS('SERVICE ENTRY'!$AG$4:$AG$1200,'Breast Cancers Diagnosed Report'!A12, 'SERVICE ENTRY'!$F$4:$F$1200, "Dominican",'SERVICE ENTRY'!$AL$4:$AL$1200,"")+COUNTIFS('SERVICE ENTRY'!$AG$4:$AG$1200,'Breast Cancers Diagnosed Report'!A12, 'SERVICE ENTRY'!$F$4:$F$1200, "Mexican/Mexican-American/Chicano",'SERVICE ENTRY'!$AL$4:$AL$1200,"")+COUNTIFS('SERVICE ENTRY'!$AG$4:$AG$1200,'Breast Cancers Diagnosed Report'!A12, 'SERVICE ENTRY'!$F$4:$F$1200, "Puerto Rican",'SERVICE ENTRY'!$AL$4:$AL$1200,"")+COUNTIFS('SERVICE ENTRY'!$AG$4:$AG$1200,'Breast Cancers Diagnosed Report'!A12, 'SERVICE ENTRY'!$F$4:$F$1200, "Salvadoran",'SERVICE ENTRY'!$AL$4:$AL$1200,"")+COUNTIFS('SERVICE ENTRY'!$AG$4:$AG$1200,'Breast Cancers Diagnosed Report'!A12, 'SERVICE ENTRY'!$F$4:$F$1200, "Other Hispanic/Latino/Spanish origin",'SERVICE ENTRY'!$AL$4:$AL$1200,"")</f>
        <v>0</v>
      </c>
      <c r="K12" s="210">
        <f>COUNTIFS('SERVICE ENTRY'!$AG$4:$AG$1200,'Breast Cancers Diagnosed Report'!A12, 'SERVICE ENTRY'!$F$4:$F$1200, "Not of Hispanic/Latino/Spanish origin",'SERVICE ENTRY'!$AL$4:$AL$1200,"")</f>
        <v>0</v>
      </c>
      <c r="L12" s="210">
        <f>COUNTIFS('SERVICE ENTRY'!$AG$4:$AG$1200,'Breast Cancers Diagnosed Report'!A12, 'SERVICE ENTRY'!$F$4:$F$1200, "Unknown or Other",'SERVICE ENTRY'!$AL$4:$AL$1200,"")</f>
        <v>0</v>
      </c>
    </row>
    <row r="13" spans="1:12" ht="15.75" thickBot="1" x14ac:dyDescent="0.3">
      <c r="A13" s="113" t="s">
        <v>236</v>
      </c>
      <c r="B13" s="109">
        <f>COUNTIFS('SERVICE ENTRY'!$AG$4:$AG$1200, 'Breast Cancers Diagnosed Report'!A13, 'SERVICE ENTRY'!$AL$4:$AL$1200,"")</f>
        <v>0</v>
      </c>
      <c r="C13" s="104">
        <f>COUNTIFS('SERVICE ENTRY'!$AG$4:$AG$1200,'Breast Cancers Diagnosed Report'!A13, 'SERVICE ENTRY'!$G$4:$G$1200, "American Indian or Alaska Native",'SERVICE ENTRY'!$AL$4:$AL$1200,"")</f>
        <v>0</v>
      </c>
      <c r="D13" s="98">
        <f>COUNTIFS('SERVICE ENTRY'!$AG$4:$AG$1200,'Breast Cancers Diagnosed Report'!A13, 'SERVICE ENTRY'!$G$4:$G$1200, "Asian",'SERVICE ENTRY'!$AL$4:$AL$1200,"")</f>
        <v>0</v>
      </c>
      <c r="E13" s="98">
        <f>COUNTIFS('SERVICE ENTRY'!$AG$4:$AG$1200,'Breast Cancers Diagnosed Report'!A13, 'SERVICE ENTRY'!$G$4:$G$1200, "Black/African-American",'SERVICE ENTRY'!$AL$4:$AL$1200,"")</f>
        <v>0</v>
      </c>
      <c r="F13" s="98">
        <f>COUNTIFS('SERVICE ENTRY'!$AG$4:$AG$1200,'Breast Cancers Diagnosed Report'!A13, 'SERVICE ENTRY'!$G$4:$G$1200, "Middle Eastern or North African",'SERVICE ENTRY'!$AL$4:$AL$1200,"")</f>
        <v>0</v>
      </c>
      <c r="G13" s="98">
        <f>COUNTIFS('SERVICE ENTRY'!$AG$4:$AG$1200,'Breast Cancers Diagnosed Report'!B13, 'SERVICE ENTRY'!$G$4:$G$1200, "Native Hawaiian or Pacific Islander",'SERVICE ENTRY'!$AL$4:$AL$1200,"")</f>
        <v>0</v>
      </c>
      <c r="H13" s="103">
        <f>COUNTIFS('SERVICE ENTRY'!$AG$4:$AG$1200,'Breast Cancers Diagnosed Report'!A13, 'SERVICE ENTRY'!$G$4:$G$1200, "White",'SERVICE ENTRY'!$AL$4:$AL$1200,"")</f>
        <v>0</v>
      </c>
      <c r="I13" s="109">
        <f>COUNTIFS('SERVICE ENTRY'!$AG$4:$AG$1200,'Breast Cancers Diagnosed Report'!A13, 'SERVICE ENTRY'!$G$4:$G$1200, "Unknown or Other",'SERVICE ENTRY'!$AL$4:$AL$1200,"")</f>
        <v>0</v>
      </c>
      <c r="J13" s="104">
        <f>COUNTIFS('SERVICE ENTRY'!$AG$4:$AG$1200,'Breast Cancers Diagnosed Report'!A13, 'SERVICE ENTRY'!$F$4:$F$1200, "Colombian",'SERVICE ENTRY'!$AL$4:$AL$1200,"")+COUNTIFS('SERVICE ENTRY'!$AG$4:$AG$1200,'Breast Cancers Diagnosed Report'!A13, 'SERVICE ENTRY'!$F$4:$F$1200, "Cuban",'SERVICE ENTRY'!$AL$4:$AL$1200,"")+COUNTIFS('SERVICE ENTRY'!$AG$4:$AG$1200,'Breast Cancers Diagnosed Report'!A13, 'SERVICE ENTRY'!$F$4:$F$1200, "Dominican",'SERVICE ENTRY'!$AL$4:$AL$1200,"")+COUNTIFS('SERVICE ENTRY'!$AG$4:$AG$1200,'Breast Cancers Diagnosed Report'!A13, 'SERVICE ENTRY'!$F$4:$F$1200, "Mexican/Mexican-American/Chicano",'SERVICE ENTRY'!$AL$4:$AL$1200,"")+COUNTIFS('SERVICE ENTRY'!$AG$4:$AG$1200,'Breast Cancers Diagnosed Report'!A13, 'SERVICE ENTRY'!$F$4:$F$1200, "Puerto Rican",'SERVICE ENTRY'!$AL$4:$AL$1200,"")+COUNTIFS('SERVICE ENTRY'!$AG$4:$AG$1200,'Breast Cancers Diagnosed Report'!A13, 'SERVICE ENTRY'!$F$4:$F$1200, "Salvadoran",'SERVICE ENTRY'!$AL$4:$AL$1200,"")+COUNTIFS('SERVICE ENTRY'!$AG$4:$AG$1200,'Breast Cancers Diagnosed Report'!A13, 'SERVICE ENTRY'!$F$4:$F$1200, "Other Hispanic.Latino/Spanish origin",'SERVICE ENTRY'!$AL$4:$AL$1200,"")</f>
        <v>0</v>
      </c>
      <c r="K13" s="211">
        <f>COUNTIFS('SERVICE ENTRY'!$AG$4:$AG$1200,'Breast Cancers Diagnosed Report'!A13, 'SERVICE ENTRY'!$F$4:$F$1200, "Not of Hispanic/Latino/Spanish origin",'SERVICE ENTRY'!$AL$4:$AL$1200,"")</f>
        <v>0</v>
      </c>
      <c r="L13" s="211">
        <f>COUNTIFS('SERVICE ENTRY'!$AG$4:$AG$1200,'Breast Cancers Diagnosed Report'!A13, 'SERVICE ENTRY'!$F$4:$F$1200, "Unknown or Other",'SERVICE ENTRY'!$AL$4:$AL$1200,"")</f>
        <v>0</v>
      </c>
    </row>
    <row r="14" spans="1:12" ht="15.75" thickBot="1" x14ac:dyDescent="0.3">
      <c r="A14" s="365" t="s">
        <v>322</v>
      </c>
      <c r="B14" s="386">
        <f t="shared" ref="B14:L14" si="0">SUM(B8:B13)</f>
        <v>0</v>
      </c>
      <c r="C14" s="191">
        <f>SUM(C8:C13)</f>
        <v>0</v>
      </c>
      <c r="D14" s="192">
        <f t="shared" si="0"/>
        <v>0</v>
      </c>
      <c r="E14" s="192">
        <f t="shared" si="0"/>
        <v>0</v>
      </c>
      <c r="F14" s="192">
        <f t="shared" si="0"/>
        <v>0</v>
      </c>
      <c r="G14" s="193">
        <f>SUM(G8:G13)</f>
        <v>0</v>
      </c>
      <c r="H14" s="193">
        <f t="shared" si="0"/>
        <v>0</v>
      </c>
      <c r="I14" s="193">
        <f>SUM(I8:I13)</f>
        <v>0</v>
      </c>
      <c r="J14" s="198">
        <f t="shared" si="0"/>
        <v>0</v>
      </c>
      <c r="K14" s="192">
        <f t="shared" si="0"/>
        <v>0</v>
      </c>
      <c r="L14" s="192">
        <f t="shared" si="0"/>
        <v>0</v>
      </c>
    </row>
    <row r="15" spans="1:12" ht="26.25" customHeight="1" thickBot="1" x14ac:dyDescent="0.3">
      <c r="A15" s="366"/>
      <c r="B15" s="368"/>
      <c r="C15" s="369">
        <f>SUM(C14:I14)</f>
        <v>0</v>
      </c>
      <c r="D15" s="370"/>
      <c r="E15" s="370"/>
      <c r="F15" s="370"/>
      <c r="G15" s="370"/>
      <c r="H15" s="370"/>
      <c r="I15" s="370"/>
      <c r="J15" s="387">
        <f>SUM(J14:L14)</f>
        <v>0</v>
      </c>
      <c r="K15" s="370"/>
      <c r="L15" s="371"/>
    </row>
    <row r="18" spans="1:12" ht="72.75" customHeight="1" x14ac:dyDescent="0.2">
      <c r="A18" s="139" t="s">
        <v>382</v>
      </c>
      <c r="B18" s="148" t="s">
        <v>361</v>
      </c>
      <c r="C18" s="176" t="s">
        <v>250</v>
      </c>
      <c r="D18" s="176" t="s">
        <v>251</v>
      </c>
      <c r="E18" s="176" t="s">
        <v>246</v>
      </c>
      <c r="F18" s="176" t="s">
        <v>373</v>
      </c>
      <c r="G18" s="176" t="s">
        <v>252</v>
      </c>
      <c r="H18" s="176" t="s">
        <v>248</v>
      </c>
      <c r="I18" s="143" t="s">
        <v>388</v>
      </c>
      <c r="J18" s="145" t="s">
        <v>247</v>
      </c>
      <c r="K18" s="137" t="s">
        <v>324</v>
      </c>
      <c r="L18" s="143" t="s">
        <v>388</v>
      </c>
    </row>
    <row r="19" spans="1:12" ht="15" x14ac:dyDescent="0.25">
      <c r="A19" s="68" t="s">
        <v>173</v>
      </c>
      <c r="B19" s="251">
        <f>COUNTIFS('SERVICE ENTRY'!$AL$4:$AL$1200,'Breast Cancers Diagnosed Report'!A19, 'SERVICE ENTRY'!$AJ$4:$AJ$1200, "&lt;&gt;Biopsy",'SERVICE ENTRY'!$AK$4:$AK$1200, "&lt;&gt;Biopsy")</f>
        <v>0</v>
      </c>
      <c r="C19" s="92">
        <f>COUNTIFS('SERVICE ENTRY'!$AL$4:$AL$1200,'Breast Cancers Diagnosed Report'!A19, 'SERVICE ENTRY'!$AJ$4:$AJ$1200, "&lt;&gt;Biopsy",'SERVICE ENTRY'!$AK$4:$AK$1200, "&lt;&gt;Biopsy",'SERVICE ENTRY'!$G$4:$G$1200,"American Indian or Alaska Native")</f>
        <v>0</v>
      </c>
      <c r="D19" s="42">
        <f>COUNTIFS('SERVICE ENTRY'!$AL$4:$AL$1200,'Breast Cancers Diagnosed Report'!A19, 'SERVICE ENTRY'!$AJ$4:$AJ$1200, "&lt;&gt;Biopsy",'SERVICE ENTRY'!$AK$4:$AK$1200, "&lt;&gt;Biopsy",'SERVICE ENTRY'!$G$4:$G$1200,"Asian")</f>
        <v>0</v>
      </c>
      <c r="E19" s="42">
        <f>COUNTIFS('SERVICE ENTRY'!$AL$4:$AL$1200,'Breast Cancers Diagnosed Report'!A19, 'SERVICE ENTRY'!$AJ$4:$AJ$1200, "&lt;&gt;Biopsy",'SERVICE ENTRY'!$AK$4:$AK$1200, "&lt;&gt;Biopsy",'SERVICE ENTRY'!$G$4:$G$1200,"Black or African-American")</f>
        <v>0</v>
      </c>
      <c r="F19" s="42">
        <f>COUNTIFS('SERVICE ENTRY'!$AL$4:$AL$1200,'Breast Cancers Diagnosed Report'!A19, 'SERVICE ENTRY'!$AJ$4:$AJ$1200, "&lt;&gt;Biopsy",'SERVICE ENTRY'!$AK$4:$AK$1200, "&lt;&gt;Biopsy",'SERVICE ENTRY'!$G$4:$G$1200,"Middle Eastern or North African")</f>
        <v>0</v>
      </c>
      <c r="G19" s="100">
        <f>COUNTIFS('SERVICE ENTRY'!$AL$4:$AL$1200,'Breast Cancers Diagnosed Report'!A19, 'SERVICE ENTRY'!$AJ$4:$AJ$1200, "&lt;&gt;Biopsy",'SERVICE ENTRY'!$AK$4:$AK$1200, "&lt;&gt;Biopsy",'SERVICE ENTRY'!$G$4:$G$1200,"Native Hawaiian or Pacific Islander")</f>
        <v>0</v>
      </c>
      <c r="H19" s="100">
        <f>COUNTIFS('SERVICE ENTRY'!$AL$4:$AL$1200,'Breast Cancers Diagnosed Report'!A19, 'SERVICE ENTRY'!$AJ$4:$AJ$1200, "&lt;&gt;Biopsy",'SERVICE ENTRY'!$AK$4:$AK$1200, "&lt;&gt;Biopsy",'SERVICE ENTRY'!$G$4:$G$1200,"White")</f>
        <v>0</v>
      </c>
      <c r="I19" s="106">
        <f>COUNTIFS('SERVICE ENTRY'!$AL$4:$AL$1200,'Breast Cancers Diagnosed Report'!A19, 'SERVICE ENTRY'!$AJ$4:$AJ$1200, "&lt;&gt;Biopsy",'SERVICE ENTRY'!$AK$4:$AK$1200, "&lt;&gt;Biopsy",'SERVICE ENTRY'!$G$4:$G$1200,"Unknown or Other")</f>
        <v>0</v>
      </c>
      <c r="J19" s="102">
        <f>COUNTIFS('SERVICE ENTRY'!$AL$4:$AL$1200,'Breast Cancers Diagnosed Report'!A19, 'SERVICE ENTRY'!$AJ$4:$AJ$1200, "&lt;&gt;Biopsy",'SERVICE ENTRY'!$AK$4:$AK$1200, "&lt;&gt;Biopsy",'SERVICE ENTRY'!$F$4:$F$1200,"Colombian")+COUNTIFS('SERVICE ENTRY'!$AL$4:$AL$1200,'Breast Cancers Diagnosed Report'!A19, 'SERVICE ENTRY'!$AJ$4:$AJ$1200, "&lt;&gt;Biopsy",'SERVICE ENTRY'!$AK$4:$AK$1200, "&lt;&gt;Biopsy",'SERVICE ENTRY'!$F$4:$F$1200,"Cuban")+COUNTIFS('SERVICE ENTRY'!$AL$4:$AL$1200,'Breast Cancers Diagnosed Report'!A19, 'SERVICE ENTRY'!$AJ$4:$AJ$1200, "&lt;&gt;Biopsy",'SERVICE ENTRY'!$AK$4:$AK$1200, "&lt;&gt;Biopsy",'SERVICE ENTRY'!$F$4:$F$1200,"Dominican")+COUNTIFS('SERVICE ENTRY'!$AL$4:$AL$1200,'Breast Cancers Diagnosed Report'!A19, 'SERVICE ENTRY'!$AJ$4:$AJ$1200, "&lt;&gt;Biopsy",'SERVICE ENTRY'!$AK$4:$AK$1200, "&lt;&gt;Biopsy",'SERVICE ENTRY'!$F$4:$F$1200,"Mexican/Mexican-American/Chicano")+COUNTIFS('SERVICE ENTRY'!$AL$4:$AL$1200,'Breast Cancers Diagnosed Report'!A19, 'SERVICE ENTRY'!$AJ$4:$AJ$1200, "&lt;&gt;Biopsy",'SERVICE ENTRY'!$AK$4:$AK$1200, "&lt;&gt;Biopsy",'SERVICE ENTRY'!$F$4:$F$1200,"Puerto Rican")+COUNTIFS('SERVICE ENTRY'!$AL$4:$AL$1200,'Breast Cancers Diagnosed Report'!A19, 'SERVICE ENTRY'!$AJ$4:$AJ$1200, "&lt;&gt;Biopsy",'SERVICE ENTRY'!$AK$4:$AK$1200, "&lt;&gt;Biopsy",'SERVICE ENTRY'!$F$4:$F$1200,"Salvadoran")+COUNTIFS('SERVICE ENTRY'!$AL$4:$AL$1200,'Breast Cancers Diagnosed Report'!A19, 'SERVICE ENTRY'!$AJ$4:$AJ$1200, "&lt;&gt;Biopsy",'SERVICE ENTRY'!$AK$4:$AK$1200, "&lt;&gt;Biopsy",'SERVICE ENTRY'!$F$4:$F$1200,"Other Hispanic/Latino/Spanish origin")</f>
        <v>0</v>
      </c>
      <c r="K19" s="42">
        <f>COUNTIFS('SERVICE ENTRY'!$AL$4:$AL$1200,'Breast Cancers Diagnosed Report'!A19, 'SERVICE ENTRY'!$AJ$4:$AJ$1200, "&lt;&gt;Biopsy",'SERVICE ENTRY'!$AK$4:$AK$1200, "&lt;&gt;Biopsy",'SERVICE ENTRY'!$F$4:$F$1200,"Not of Hispanic/Latino/Spanish origin")</f>
        <v>0</v>
      </c>
      <c r="L19" s="42">
        <f>COUNTIFS('SERVICE ENTRY'!$AL$4:$AL$1200,'Breast Cancers Diagnosed Report'!A19, 'SERVICE ENTRY'!$AJ$4:$AJ$1200, "&lt;&gt;Biopsy",'SERVICE ENTRY'!$AK$4:$AK$1200, "&lt;&gt;Biopsy",'SERVICE ENTRY'!$F$4:$F$1200,"Unknown or Other")</f>
        <v>0</v>
      </c>
    </row>
    <row r="20" spans="1:12" ht="15" x14ac:dyDescent="0.25">
      <c r="A20" s="68" t="s">
        <v>174</v>
      </c>
      <c r="B20" s="251">
        <f>COUNTIFS('SERVICE ENTRY'!$AL$4:$AL$1200,'Breast Cancers Diagnosed Report'!A20, 'SERVICE ENTRY'!$AJ$4:$AJ$1200, "&lt;&gt;Biopsy",'SERVICE ENTRY'!$AK$4:$AK$1200, "&lt;&gt;Biopsy")</f>
        <v>0</v>
      </c>
      <c r="C20" s="92">
        <f>COUNTIFS('SERVICE ENTRY'!$AL$4:$AL$1200,'Breast Cancers Diagnosed Report'!A20, 'SERVICE ENTRY'!$AJ$4:$AJ$1200, "&lt;&gt;Biopsy",'SERVICE ENTRY'!$AK$4:$AK$1200, "&lt;&gt;Biopsy",'SERVICE ENTRY'!$G$4:$G$1200,"American Indian or Alaska Native")</f>
        <v>0</v>
      </c>
      <c r="D20" s="42">
        <f>COUNTIFS('SERVICE ENTRY'!$AL$4:$AL$1200,'Breast Cancers Diagnosed Report'!A20, 'SERVICE ENTRY'!$AJ$4:$AJ$1200, "&lt;&gt;Biopsy",'SERVICE ENTRY'!$AK$4:$AK$1200, "&lt;&gt;Biopsy",'SERVICE ENTRY'!$G$4:$G$1200,"Asian")</f>
        <v>0</v>
      </c>
      <c r="E20" s="42">
        <f>COUNTIFS('SERVICE ENTRY'!$AL$4:$AL$1200,'Breast Cancers Diagnosed Report'!A20, 'SERVICE ENTRY'!$AJ$4:$AJ$1200, "&lt;&gt;Biopsy",'SERVICE ENTRY'!$AK$4:$AK$1200, "&lt;&gt;Biopsy",'SERVICE ENTRY'!$G$4:$G$1200,"Black or African-American")</f>
        <v>0</v>
      </c>
      <c r="F20" s="42">
        <f>COUNTIFS('SERVICE ENTRY'!$AL$4:$AL$1200,'Breast Cancers Diagnosed Report'!A20, 'SERVICE ENTRY'!$AJ$4:$AJ$1200, "&lt;&gt;Biopsy",'SERVICE ENTRY'!$AK$4:$AK$1200, "&lt;&gt;Biopsy",'SERVICE ENTRY'!$G$4:$G$1200,"Middle Eastern or North African")</f>
        <v>0</v>
      </c>
      <c r="G20" s="100">
        <f>COUNTIFS('SERVICE ENTRY'!$AL$4:$AL$1200,'Breast Cancers Diagnosed Report'!A20, 'SERVICE ENTRY'!$AJ$4:$AJ$1200, "&lt;&gt;Biopsy",'SERVICE ENTRY'!$AK$4:$AK$1200, "&lt;&gt;Biopsy",'SERVICE ENTRY'!$G$4:$G$1200,"Native Hawaiian or Pacific Islander")</f>
        <v>0</v>
      </c>
      <c r="H20" s="100">
        <f>COUNTIFS('SERVICE ENTRY'!$AL$4:$AL$1200,'Breast Cancers Diagnosed Report'!A20, 'SERVICE ENTRY'!$AJ$4:$AJ$1200, "&lt;&gt;Biopsy",'SERVICE ENTRY'!$AK$4:$AK$1200, "&lt;&gt;Biopsy",'SERVICE ENTRY'!$G$4:$G$1200,"White")</f>
        <v>0</v>
      </c>
      <c r="I20" s="106">
        <f>COUNTIFS('SERVICE ENTRY'!$AL$4:$AL$1200,'Breast Cancers Diagnosed Report'!A20, 'SERVICE ENTRY'!$AJ$4:$AJ$1200, "&lt;&gt;Biopsy",'SERVICE ENTRY'!$AK$4:$AK$1200, "&lt;&gt;Biopsy",'SERVICE ENTRY'!$G$4:$G$1200,"Unknown or Other")</f>
        <v>0</v>
      </c>
      <c r="J20" s="102">
        <f>COUNTIFS('SERVICE ENTRY'!$AL$4:$AL$1200,'Breast Cancers Diagnosed Report'!A20, 'SERVICE ENTRY'!$AJ$4:$AJ$1200, "&lt;&gt;Biopsy",'SERVICE ENTRY'!$AK$4:$AK$1200, "&lt;&gt;Biopsy",'SERVICE ENTRY'!$F$4:$F$1200,"Colombian")+COUNTIFS('SERVICE ENTRY'!$AL$4:$AL$1200,'Breast Cancers Diagnosed Report'!A20, 'SERVICE ENTRY'!$AJ$4:$AJ$1200, "&lt;&gt;Biopsy",'SERVICE ENTRY'!$AK$4:$AK$1200, "&lt;&gt;Biopsy",'SERVICE ENTRY'!$F$4:$F$1200,"Cuban")+COUNTIFS('SERVICE ENTRY'!$AL$4:$AL$1200,'Breast Cancers Diagnosed Report'!A20, 'SERVICE ENTRY'!$AJ$4:$AJ$1200, "&lt;&gt;Biopsy",'SERVICE ENTRY'!$AK$4:$AK$1200, "&lt;&gt;Biopsy",'SERVICE ENTRY'!$F$4:$F$1200,"Dominican")+COUNTIFS('SERVICE ENTRY'!$AL$4:$AL$1200,'Breast Cancers Diagnosed Report'!A20, 'SERVICE ENTRY'!$AJ$4:$AJ$1200, "&lt;&gt;Biopsy",'SERVICE ENTRY'!$AK$4:$AK$1200, "&lt;&gt;Biopsy",'SERVICE ENTRY'!$F$4:$F$1200,"Mexican/Mexican-American/Chicano")+COUNTIFS('SERVICE ENTRY'!$AL$4:$AL$1200,'Breast Cancers Diagnosed Report'!A20, 'SERVICE ENTRY'!$AJ$4:$AJ$1200, "&lt;&gt;Biopsy",'SERVICE ENTRY'!$AK$4:$AK$1200, "&lt;&gt;Biopsy",'SERVICE ENTRY'!$F$4:$F$1200,"Puerto Rican")+COUNTIFS('SERVICE ENTRY'!$AL$4:$AL$1200,'Breast Cancers Diagnosed Report'!A20, 'SERVICE ENTRY'!$AJ$4:$AJ$1200, "&lt;&gt;Biopsy",'SERVICE ENTRY'!$AK$4:$AK$1200, "&lt;&gt;Biopsy",'SERVICE ENTRY'!$F$4:$F$1200,"Salvadoran")+COUNTIFS('SERVICE ENTRY'!$AL$4:$AL$1200,'Breast Cancers Diagnosed Report'!A20, 'SERVICE ENTRY'!$AJ$4:$AJ$1200, "&lt;&gt;Biopsy",'SERVICE ENTRY'!$AK$4:$AK$1200, "&lt;&gt;Biopsy",'SERVICE ENTRY'!$F$4:$F$1200,"Other Hispanic/Latino/Spanish origin")</f>
        <v>0</v>
      </c>
      <c r="K20" s="42">
        <f>COUNTIFS('SERVICE ENTRY'!$AL$4:$AL$1200,'Breast Cancers Diagnosed Report'!A20, 'SERVICE ENTRY'!$AJ$4:$AJ$1200, "&lt;&gt;Biopsy",'SERVICE ENTRY'!$AK$4:$AK$1200, "&lt;&gt;Biopsy",'SERVICE ENTRY'!$F$4:$F$1200,"Not of Hispanic/Latino/Spanish origin")</f>
        <v>0</v>
      </c>
      <c r="L20" s="42">
        <f>COUNTIFS('SERVICE ENTRY'!$AL$4:$AL$1200,'Breast Cancers Diagnosed Report'!A20, 'SERVICE ENTRY'!$AJ$4:$AJ$1200, "&lt;&gt;Biopsy",'SERVICE ENTRY'!$AK$4:$AK$1200, "&lt;&gt;Biopsy",'SERVICE ENTRY'!$F$4:$F$1200,"Unknown or Other")</f>
        <v>0</v>
      </c>
    </row>
    <row r="21" spans="1:12" ht="15" x14ac:dyDescent="0.25">
      <c r="A21" s="68" t="s">
        <v>99</v>
      </c>
      <c r="B21" s="251">
        <f>COUNTIFS('SERVICE ENTRY'!$AL$4:$AL$1200,'Breast Cancers Diagnosed Report'!A21, 'SERVICE ENTRY'!$AJ$4:$AJ$1200, "&lt;&gt;Biopsy",'SERVICE ENTRY'!$AK$4:$AK$1200, "&lt;&gt;Biopsy")</f>
        <v>0</v>
      </c>
      <c r="C21" s="92">
        <f>COUNTIFS('SERVICE ENTRY'!$AL$4:$AL$1200,'Breast Cancers Diagnosed Report'!A21, 'SERVICE ENTRY'!$AJ$4:$AJ$1200, "&lt;&gt;Biopsy",'SERVICE ENTRY'!$AK$4:$AK$1200, "&lt;&gt;Biopsy",'SERVICE ENTRY'!$G$4:$G$1200,"American Indian or Alaska Native")</f>
        <v>0</v>
      </c>
      <c r="D21" s="42">
        <f>COUNTIFS('SERVICE ENTRY'!$AL$4:$AL$1200,'Breast Cancers Diagnosed Report'!A21, 'SERVICE ENTRY'!$AJ$4:$AJ$1200, "&lt;&gt;Biopsy",'SERVICE ENTRY'!$AK$4:$AK$1200, "&lt;&gt;Biopsy",'SERVICE ENTRY'!$G$4:$G$1200,"Asian")</f>
        <v>0</v>
      </c>
      <c r="E21" s="42">
        <f>COUNTIFS('SERVICE ENTRY'!$AL$4:$AL$1200,'Breast Cancers Diagnosed Report'!A21, 'SERVICE ENTRY'!$AJ$4:$AJ$1200, "&lt;&gt;Biopsy",'SERVICE ENTRY'!$AK$4:$AK$1200, "&lt;&gt;Biopsy",'SERVICE ENTRY'!$G$4:$G$1200,"Black or African-American")</f>
        <v>0</v>
      </c>
      <c r="F21" s="42">
        <f>COUNTIFS('SERVICE ENTRY'!$AL$4:$AL$1200,'Breast Cancers Diagnosed Report'!A21, 'SERVICE ENTRY'!$AJ$4:$AJ$1200, "&lt;&gt;Biopsy",'SERVICE ENTRY'!$AK$4:$AK$1200, "&lt;&gt;Biopsy",'SERVICE ENTRY'!$G$4:$G$1200,"Middle Eastern or North African")</f>
        <v>0</v>
      </c>
      <c r="G21" s="100">
        <f>COUNTIFS('SERVICE ENTRY'!$AL$4:$AL$1200,'Breast Cancers Diagnosed Report'!A21, 'SERVICE ENTRY'!$AJ$4:$AJ$1200, "&lt;&gt;Biopsy",'SERVICE ENTRY'!$AK$4:$AK$1200, "&lt;&gt;Biopsy",'SERVICE ENTRY'!$G$4:$G$1200,"Native Hawaiian or Pacific Islander")</f>
        <v>0</v>
      </c>
      <c r="H21" s="100">
        <f>COUNTIFS('SERVICE ENTRY'!$AL$4:$AL$1200,'Breast Cancers Diagnosed Report'!A21, 'SERVICE ENTRY'!$AJ$4:$AJ$1200, "&lt;&gt;Biopsy",'SERVICE ENTRY'!$AK$4:$AK$1200, "&lt;&gt;Biopsy",'SERVICE ENTRY'!$G$4:$G$1200,"White")</f>
        <v>0</v>
      </c>
      <c r="I21" s="106">
        <f>COUNTIFS('SERVICE ENTRY'!$AL$4:$AL$1200,'Breast Cancers Diagnosed Report'!A21, 'SERVICE ENTRY'!$AJ$4:$AJ$1200, "&lt;&gt;Biopsy",'SERVICE ENTRY'!$AK$4:$AK$1200, "&lt;&gt;Biopsy",'SERVICE ENTRY'!$G$4:$G$1200,"Unknown or Other")</f>
        <v>0</v>
      </c>
      <c r="J21" s="102">
        <f>COUNTIFS('SERVICE ENTRY'!$AL$4:$AL$1200,'Breast Cancers Diagnosed Report'!A21, 'SERVICE ENTRY'!$AJ$4:$AJ$1200, "&lt;&gt;Biopsy",'SERVICE ENTRY'!$AK$4:$AK$1200, "&lt;&gt;Biopsy",'SERVICE ENTRY'!$F$4:$F$1200,"Colombian")+COUNTIFS('SERVICE ENTRY'!$AL$4:$AL$1200,'Breast Cancers Diagnosed Report'!A21, 'SERVICE ENTRY'!$AJ$4:$AJ$1200, "&lt;&gt;Biopsy",'SERVICE ENTRY'!$AK$4:$AK$1200, "&lt;&gt;Biopsy",'SERVICE ENTRY'!$F$4:$F$1200,"Cuban")+COUNTIFS('SERVICE ENTRY'!$AL$4:$AL$1200,'Breast Cancers Diagnosed Report'!A21, 'SERVICE ENTRY'!$AJ$4:$AJ$1200, "&lt;&gt;Biopsy",'SERVICE ENTRY'!$AK$4:$AK$1200, "&lt;&gt;Biopsy",'SERVICE ENTRY'!$F$4:$F$1200,"Dominican")+COUNTIFS('SERVICE ENTRY'!$AL$4:$AL$1200,'Breast Cancers Diagnosed Report'!A21, 'SERVICE ENTRY'!$AJ$4:$AJ$1200, "&lt;&gt;Biopsy",'SERVICE ENTRY'!$AK$4:$AK$1200, "&lt;&gt;Biopsy",'SERVICE ENTRY'!$F$4:$F$1200,"Mexican/Mexican-American/Chicano")+COUNTIFS('SERVICE ENTRY'!$AL$4:$AL$1200,'Breast Cancers Diagnosed Report'!A21, 'SERVICE ENTRY'!$AJ$4:$AJ$1200, "&lt;&gt;Biopsy",'SERVICE ENTRY'!$AK$4:$AK$1200, "&lt;&gt;Biopsy",'SERVICE ENTRY'!$F$4:$F$1200,"Puerto Rican")+COUNTIFS('SERVICE ENTRY'!$AL$4:$AL$1200,'Breast Cancers Diagnosed Report'!A21, 'SERVICE ENTRY'!$AJ$4:$AJ$1200, "&lt;&gt;Biopsy",'SERVICE ENTRY'!$AK$4:$AK$1200, "&lt;&gt;Biopsy",'SERVICE ENTRY'!$F$4:$F$1200,"Salvadoran")+COUNTIFS('SERVICE ENTRY'!$AL$4:$AL$1200,'Breast Cancers Diagnosed Report'!A21, 'SERVICE ENTRY'!$AJ$4:$AJ$1200, "&lt;&gt;Biopsy",'SERVICE ENTRY'!$AK$4:$AK$1200, "&lt;&gt;Biopsy",'SERVICE ENTRY'!$F$4:$F$1200,"Other Hispanic/Latino/Spanish origin")</f>
        <v>0</v>
      </c>
      <c r="K21" s="42">
        <f>COUNTIFS('SERVICE ENTRY'!$AL$4:$AL$1200,'Breast Cancers Diagnosed Report'!A21, 'SERVICE ENTRY'!$AJ$4:$AJ$1200, "&lt;&gt;Biopsy",'SERVICE ENTRY'!$AK$4:$AK$1200, "&lt;&gt;Biopsy",'SERVICE ENTRY'!$F$4:$F$1200,"Not of Hispanic/Latino/Spanish origin")</f>
        <v>0</v>
      </c>
      <c r="L21" s="42">
        <f>COUNTIFS('SERVICE ENTRY'!$AL$4:$AL$1200,'Breast Cancers Diagnosed Report'!A21, 'SERVICE ENTRY'!$AJ$4:$AJ$1200, "&lt;&gt;Biopsy",'SERVICE ENTRY'!$AK$4:$AK$1200, "&lt;&gt;Biopsy",'SERVICE ENTRY'!$F$4:$F$1200,"Unknown or Other")</f>
        <v>0</v>
      </c>
    </row>
    <row r="22" spans="1:12" ht="15" x14ac:dyDescent="0.25">
      <c r="A22" s="68" t="s">
        <v>175</v>
      </c>
      <c r="B22" s="251">
        <f>COUNTIFS('SERVICE ENTRY'!$AL$4:$AL$1200,'Breast Cancers Diagnosed Report'!A22, 'SERVICE ENTRY'!$AJ$4:$AJ$1200, "&lt;&gt;Biopsy",'SERVICE ENTRY'!$AK$4:$AK$1200, "&lt;&gt;Biopsy")</f>
        <v>0</v>
      </c>
      <c r="C22" s="92">
        <f>COUNTIFS('SERVICE ENTRY'!$AL$4:$AL$1200,'Breast Cancers Diagnosed Report'!A22, 'SERVICE ENTRY'!$AJ$4:$AJ$1200, "&lt;&gt;Biopsy",'SERVICE ENTRY'!$AK$4:$AK$1200, "&lt;&gt;Biopsy",'SERVICE ENTRY'!$G$4:$G$1200,"American Indian or Alaska Native")</f>
        <v>0</v>
      </c>
      <c r="D22" s="42">
        <f>COUNTIFS('SERVICE ENTRY'!$AL$4:$AL$1200,'Breast Cancers Diagnosed Report'!A22, 'SERVICE ENTRY'!$AJ$4:$AJ$1200, "&lt;&gt;Biopsy",'SERVICE ENTRY'!$AK$4:$AK$1200, "&lt;&gt;Biopsy",'SERVICE ENTRY'!$G$4:$G$1200,"Asian")</f>
        <v>0</v>
      </c>
      <c r="E22" s="42">
        <f>COUNTIFS('SERVICE ENTRY'!$AL$4:$AL$1200,'Breast Cancers Diagnosed Report'!A22, 'SERVICE ENTRY'!$AJ$4:$AJ$1200, "&lt;&gt;Biopsy",'SERVICE ENTRY'!$AK$4:$AK$1200, "&lt;&gt;Biopsy",'SERVICE ENTRY'!$G$4:$G$1200,"Black or African-American")</f>
        <v>0</v>
      </c>
      <c r="F22" s="42">
        <f>COUNTIFS('SERVICE ENTRY'!$AL$4:$AL$1200,'Breast Cancers Diagnosed Report'!A22, 'SERVICE ENTRY'!$AJ$4:$AJ$1200, "&lt;&gt;Biopsy",'SERVICE ENTRY'!$AK$4:$AK$1200, "&lt;&gt;Biopsy",'SERVICE ENTRY'!$G$4:$G$1200,"Middle Eastern or North African")</f>
        <v>0</v>
      </c>
      <c r="G22" s="100">
        <f>COUNTIFS('SERVICE ENTRY'!$AL$4:$AL$1200,'Breast Cancers Diagnosed Report'!A22, 'SERVICE ENTRY'!$AJ$4:$AJ$1200, "&lt;&gt;Biopsy",'SERVICE ENTRY'!$AK$4:$AK$1200, "&lt;&gt;Biopsy",'SERVICE ENTRY'!$G$4:$G$1200,"Native Hawaiian or Pacific Islander")</f>
        <v>0</v>
      </c>
      <c r="H22" s="100">
        <f>COUNTIFS('SERVICE ENTRY'!$AL$4:$AL$1200,'Breast Cancers Diagnosed Report'!A22, 'SERVICE ENTRY'!$AJ$4:$AJ$1200, "&lt;&gt;Biopsy",'SERVICE ENTRY'!$AK$4:$AK$1200, "&lt;&gt;Biopsy",'SERVICE ENTRY'!$G$4:$G$1200,"White")</f>
        <v>0</v>
      </c>
      <c r="I22" s="106">
        <f>COUNTIFS('SERVICE ENTRY'!$AL$4:$AL$1200,'Breast Cancers Diagnosed Report'!A22, 'SERVICE ENTRY'!$AJ$4:$AJ$1200, "&lt;&gt;Biopsy",'SERVICE ENTRY'!$AK$4:$AK$1200, "&lt;&gt;Biopsy",'SERVICE ENTRY'!$G$4:$G$1200,"Unknown or Other")</f>
        <v>0</v>
      </c>
      <c r="J22" s="102">
        <f>COUNTIFS('SERVICE ENTRY'!$AL$4:$AL$1200,'Breast Cancers Diagnosed Report'!A22, 'SERVICE ENTRY'!$AJ$4:$AJ$1200, "&lt;&gt;Biopsy",'SERVICE ENTRY'!$AK$4:$AK$1200, "&lt;&gt;Biopsy",'SERVICE ENTRY'!$F$4:$F$1200,"Colombian")+COUNTIFS('SERVICE ENTRY'!$AL$4:$AL$1200,'Breast Cancers Diagnosed Report'!A22, 'SERVICE ENTRY'!$AJ$4:$AJ$1200, "&lt;&gt;Biopsy",'SERVICE ENTRY'!$AK$4:$AK$1200, "&lt;&gt;Biopsy",'SERVICE ENTRY'!$F$4:$F$1200,"Cuban")+COUNTIFS('SERVICE ENTRY'!$AL$4:$AL$1200,'Breast Cancers Diagnosed Report'!A22, 'SERVICE ENTRY'!$AJ$4:$AJ$1200, "&lt;&gt;Biopsy",'SERVICE ENTRY'!$AK$4:$AK$1200, "&lt;&gt;Biopsy",'SERVICE ENTRY'!$F$4:$F$1200,"Dominican")+COUNTIFS('SERVICE ENTRY'!$AL$4:$AL$1200,'Breast Cancers Diagnosed Report'!A22, 'SERVICE ENTRY'!$AJ$4:$AJ$1200, "&lt;&gt;Biopsy",'SERVICE ENTRY'!$AK$4:$AK$1200, "&lt;&gt;Biopsy",'SERVICE ENTRY'!$F$4:$F$1200,"Mexican/Mexican-American/Chicano")+COUNTIFS('SERVICE ENTRY'!$AL$4:$AL$1200,'Breast Cancers Diagnosed Report'!A22, 'SERVICE ENTRY'!$AJ$4:$AJ$1200, "&lt;&gt;Biopsy",'SERVICE ENTRY'!$AK$4:$AK$1200, "&lt;&gt;Biopsy",'SERVICE ENTRY'!$F$4:$F$1200,"Puerto Rican")+COUNTIFS('SERVICE ENTRY'!$AL$4:$AL$1200,'Breast Cancers Diagnosed Report'!A22, 'SERVICE ENTRY'!$AJ$4:$AJ$1200, "&lt;&gt;Biopsy",'SERVICE ENTRY'!$AK$4:$AK$1200, "&lt;&gt;Biopsy",'SERVICE ENTRY'!$F$4:$F$1200,"Salvadoran")+COUNTIFS('SERVICE ENTRY'!$AL$4:$AL$1200,'Breast Cancers Diagnosed Report'!A22, 'SERVICE ENTRY'!$AJ$4:$AJ$1200, "&lt;&gt;Biopsy",'SERVICE ENTRY'!$AK$4:$AK$1200, "&lt;&gt;Biopsy",'SERVICE ENTRY'!$F$4:$F$1200,"Other Hispanic/Latino/Spanish origin")</f>
        <v>0</v>
      </c>
      <c r="K22" s="42">
        <f>COUNTIFS('SERVICE ENTRY'!$AL$4:$AL$1200,'Breast Cancers Diagnosed Report'!A22, 'SERVICE ENTRY'!$AJ$4:$AJ$1200, "&lt;&gt;Biopsy",'SERVICE ENTRY'!$AK$4:$AK$1200, "&lt;&gt;Biopsy",'SERVICE ENTRY'!$F$4:$F$1200,"Not of Hispanic/Latino/Spanish origin")</f>
        <v>0</v>
      </c>
      <c r="L22" s="42">
        <f>COUNTIFS('SERVICE ENTRY'!$AL$4:$AL$1200,'Breast Cancers Diagnosed Report'!A22, 'SERVICE ENTRY'!$AJ$4:$AJ$1200, "&lt;&gt;Biopsy",'SERVICE ENTRY'!$AK$4:$AK$1200, "&lt;&gt;Biopsy",'SERVICE ENTRY'!$F$4:$F$1200,"Unknown or Other")</f>
        <v>0</v>
      </c>
    </row>
    <row r="23" spans="1:12" ht="15" x14ac:dyDescent="0.25">
      <c r="A23" s="68" t="s">
        <v>176</v>
      </c>
      <c r="B23" s="251">
        <f>COUNTIFS('SERVICE ENTRY'!$AL$4:$AL$1200,'Breast Cancers Diagnosed Report'!A23, 'SERVICE ENTRY'!$AJ$4:$AJ$1200, "&lt;&gt;Biopsy",'SERVICE ENTRY'!$AK$4:$AK$1200, "&lt;&gt;Biopsy")</f>
        <v>0</v>
      </c>
      <c r="C23" s="92">
        <f>COUNTIFS('SERVICE ENTRY'!$AL$4:$AL$1200,'Breast Cancers Diagnosed Report'!A23, 'SERVICE ENTRY'!$AJ$4:$AJ$1200, "&lt;&gt;Biopsy",'SERVICE ENTRY'!$AK$4:$AK$1200, "&lt;&gt;Biopsy",'SERVICE ENTRY'!$G$4:$G$1200,"American Indian or Alaska Native")</f>
        <v>0</v>
      </c>
      <c r="D23" s="42">
        <f>COUNTIFS('SERVICE ENTRY'!$AL$4:$AL$1200,'Breast Cancers Diagnosed Report'!A23, 'SERVICE ENTRY'!$AJ$4:$AJ$1200, "&lt;&gt;Biopsy",'SERVICE ENTRY'!$AK$4:$AK$1200, "&lt;&gt;Biopsy",'SERVICE ENTRY'!$G$4:$G$1200,"Asian")</f>
        <v>0</v>
      </c>
      <c r="E23" s="42">
        <f>COUNTIFS('SERVICE ENTRY'!$AL$4:$AL$1200,'Breast Cancers Diagnosed Report'!A23, 'SERVICE ENTRY'!$AJ$4:$AJ$1200, "&lt;&gt;Biopsy",'SERVICE ENTRY'!$AK$4:$AK$1200, "&lt;&gt;Biopsy",'SERVICE ENTRY'!$G$4:$G$1200,"Black or African-American")</f>
        <v>0</v>
      </c>
      <c r="F23" s="42">
        <f>COUNTIFS('SERVICE ENTRY'!$AL$4:$AL$1200,'Breast Cancers Diagnosed Report'!A23, 'SERVICE ENTRY'!$AJ$4:$AJ$1200, "&lt;&gt;Biopsy",'SERVICE ENTRY'!$AK$4:$AK$1200, "&lt;&gt;Biopsy",'SERVICE ENTRY'!$G$4:$G$1200,"Middle Eastern or North African")</f>
        <v>0</v>
      </c>
      <c r="G23" s="100">
        <f>COUNTIFS('SERVICE ENTRY'!$AL$4:$AL$1200,'Breast Cancers Diagnosed Report'!A23, 'SERVICE ENTRY'!$AJ$4:$AJ$1200, "&lt;&gt;Biopsy",'SERVICE ENTRY'!$AK$4:$AK$1200, "&lt;&gt;Biopsy",'SERVICE ENTRY'!$G$4:$G$1200,"Native Hawaiian or Pacific Islander")</f>
        <v>0</v>
      </c>
      <c r="H23" s="100">
        <f>COUNTIFS('SERVICE ENTRY'!$AL$4:$AL$1200,'Breast Cancers Diagnosed Report'!A23, 'SERVICE ENTRY'!$AJ$4:$AJ$1200, "&lt;&gt;Biopsy",'SERVICE ENTRY'!$AK$4:$AK$1200, "&lt;&gt;Biopsy",'SERVICE ENTRY'!$G$4:$G$1200,"White")</f>
        <v>0</v>
      </c>
      <c r="I23" s="106">
        <f>COUNTIFS('SERVICE ENTRY'!$AL$4:$AL$1200,'Breast Cancers Diagnosed Report'!A23, 'SERVICE ENTRY'!$AJ$4:$AJ$1200, "&lt;&gt;Biopsy",'SERVICE ENTRY'!$AK$4:$AK$1200, "&lt;&gt;Biopsy",'SERVICE ENTRY'!$G$4:$G$1200,"Unknown or Other")</f>
        <v>0</v>
      </c>
      <c r="J23" s="102">
        <f>COUNTIFS('SERVICE ENTRY'!$AL$4:$AL$1200,'Breast Cancers Diagnosed Report'!A23, 'SERVICE ENTRY'!$AJ$4:$AJ$1200, "&lt;&gt;Biopsy",'SERVICE ENTRY'!$AK$4:$AK$1200, "&lt;&gt;Biopsy",'SERVICE ENTRY'!$F$4:$F$1200,"Colombian")+COUNTIFS('SERVICE ENTRY'!$AL$4:$AL$1200,'Breast Cancers Diagnosed Report'!A23, 'SERVICE ENTRY'!$AJ$4:$AJ$1200, "&lt;&gt;Biopsy",'SERVICE ENTRY'!$AK$4:$AK$1200, "&lt;&gt;Biopsy",'SERVICE ENTRY'!$F$4:$F$1200,"Cuban")+COUNTIFS('SERVICE ENTRY'!$AL$4:$AL$1200,'Breast Cancers Diagnosed Report'!A23, 'SERVICE ENTRY'!$AJ$4:$AJ$1200, "&lt;&gt;Biopsy",'SERVICE ENTRY'!$AK$4:$AK$1200, "&lt;&gt;Biopsy",'SERVICE ENTRY'!$F$4:$F$1200,"Dominican")+COUNTIFS('SERVICE ENTRY'!$AL$4:$AL$1200,'Breast Cancers Diagnosed Report'!A23, 'SERVICE ENTRY'!$AJ$4:$AJ$1200, "&lt;&gt;Biopsy",'SERVICE ENTRY'!$AK$4:$AK$1200, "&lt;&gt;Biopsy",'SERVICE ENTRY'!$F$4:$F$1200,"Mexican/Mexican-American/Chicano")+COUNTIFS('SERVICE ENTRY'!$AL$4:$AL$1200,'Breast Cancers Diagnosed Report'!A23, 'SERVICE ENTRY'!$AJ$4:$AJ$1200, "&lt;&gt;Biopsy",'SERVICE ENTRY'!$AK$4:$AK$1200, "&lt;&gt;Biopsy",'SERVICE ENTRY'!$F$4:$F$1200,"Puerto Rican")+COUNTIFS('SERVICE ENTRY'!$AL$4:$AL$1200,'Breast Cancers Diagnosed Report'!A23, 'SERVICE ENTRY'!$AJ$4:$AJ$1200, "&lt;&gt;Biopsy",'SERVICE ENTRY'!$AK$4:$AK$1200, "&lt;&gt;Biopsy",'SERVICE ENTRY'!$F$4:$F$1200,"Salvadoran")+COUNTIFS('SERVICE ENTRY'!$AL$4:$AL$1200,'Breast Cancers Diagnosed Report'!A23, 'SERVICE ENTRY'!$AJ$4:$AJ$1200, "&lt;&gt;Biopsy",'SERVICE ENTRY'!$AK$4:$AK$1200, "&lt;&gt;Biopsy",'SERVICE ENTRY'!$F$4:$F$1200,"Other Hispanic/Latino/Spanish origin")</f>
        <v>0</v>
      </c>
      <c r="K23" s="42">
        <f>COUNTIFS('SERVICE ENTRY'!$AL$4:$AL$1200,'Breast Cancers Diagnosed Report'!A23, 'SERVICE ENTRY'!$AJ$4:$AJ$1200, "&lt;&gt;Biopsy",'SERVICE ENTRY'!$AK$4:$AK$1200, "&lt;&gt;Biopsy",'SERVICE ENTRY'!$F$4:$F$1200,"Not of Hispanic/Latino/Spanish origin")</f>
        <v>0</v>
      </c>
      <c r="L23" s="42">
        <f>COUNTIFS('SERVICE ENTRY'!$AL$4:$AL$1200,'Breast Cancers Diagnosed Report'!A23, 'SERVICE ENTRY'!$AJ$4:$AJ$1200, "&lt;&gt;Biopsy",'SERVICE ENTRY'!$AK$4:$AK$1200, "&lt;&gt;Biopsy",'SERVICE ENTRY'!$F$4:$F$1200,"Unknown or Other")</f>
        <v>0</v>
      </c>
    </row>
    <row r="24" spans="1:12" ht="15.75" thickBot="1" x14ac:dyDescent="0.3">
      <c r="A24" s="113" t="s">
        <v>236</v>
      </c>
      <c r="B24" s="251">
        <f>COUNTIFS('SERVICE ENTRY'!$AL$4:$AL$1200,'Breast Cancers Diagnosed Report'!A24, 'SERVICE ENTRY'!$AJ$4:$AJ$1200, "&lt;&gt;Biopsy",'SERVICE ENTRY'!$AK$4:$AK$1200, "&lt;&gt;Biopsy")</f>
        <v>0</v>
      </c>
      <c r="C24" s="104">
        <f>COUNTIFS('SERVICE ENTRY'!$AL$4:$AL$1200,'Breast Cancers Diagnosed Report'!A24, 'SERVICE ENTRY'!$AJ$4:$AJ$1200, "&lt;&gt;Biopsy",'SERVICE ENTRY'!$AK$4:$AK$1200, "&lt;&gt;Biopsy",'SERVICE ENTRY'!$G$4:$G$1200,"American Indian or Alaska Native")</f>
        <v>0</v>
      </c>
      <c r="D24" s="98">
        <f>COUNTIFS('SERVICE ENTRY'!$AL$4:$AL$1200,'Breast Cancers Diagnosed Report'!A24, 'SERVICE ENTRY'!$AJ$4:$AJ$1200, "&lt;&gt;Biopsy",'SERVICE ENTRY'!$AK$4:$AK$1200, "&lt;&gt;Biopsy",'SERVICE ENTRY'!$G$4:$G$1200,"Asian")</f>
        <v>0</v>
      </c>
      <c r="E24" s="98">
        <f>COUNTIFS('SERVICE ENTRY'!$AL$4:$AL$1200,'Breast Cancers Diagnosed Report'!A24, 'SERVICE ENTRY'!$AJ$4:$AJ$1200, "&lt;&gt;Biopsy",'SERVICE ENTRY'!$AK$4:$AK$1200, "&lt;&gt;Biopsy",'SERVICE ENTRY'!$G$4:$G$1200,"Black or African-American")</f>
        <v>0</v>
      </c>
      <c r="F24" s="98">
        <f>COUNTIFS('SERVICE ENTRY'!$AL$4:$AL$1200,'Breast Cancers Diagnosed Report'!A24, 'SERVICE ENTRY'!$AJ$4:$AJ$1200, "&lt;&gt;Biopsy",'SERVICE ENTRY'!$AK$4:$AK$1200, "&lt;&gt;Biopsy",'SERVICE ENTRY'!$G$4:$G$1200,"Middle Eastern or North African")</f>
        <v>0</v>
      </c>
      <c r="G24" s="103">
        <f>COUNTIFS('SERVICE ENTRY'!$AL$4:$AL$1200,'Breast Cancers Diagnosed Report'!A24, 'SERVICE ENTRY'!$AJ$4:$AJ$1200, "&lt;&gt;Biopsy",'SERVICE ENTRY'!$AK$4:$AK$1200, "&lt;&gt;Biopsy",'SERVICE ENTRY'!$G$4:$G$1200,"Native Hawaiian or Pacific Islander")</f>
        <v>0</v>
      </c>
      <c r="H24" s="103">
        <f>COUNTIFS('SERVICE ENTRY'!$AL$4:$AL$1200,'Breast Cancers Diagnosed Report'!A24, 'SERVICE ENTRY'!$AJ$4:$AJ$1200, "&lt;&gt;Biopsy",'SERVICE ENTRY'!$AK$4:$AK$1200, "&lt;&gt;Biopsy",'SERVICE ENTRY'!$G$4:$G$1200,"White")</f>
        <v>0</v>
      </c>
      <c r="I24" s="109">
        <f>COUNTIFS('SERVICE ENTRY'!$AL$4:$AL$1200,'Breast Cancers Diagnosed Report'!A24, 'SERVICE ENTRY'!$AJ$4:$AJ$1200, "&lt;&gt;Biopsy",'SERVICE ENTRY'!$AK$4:$AK$1200, "&lt;&gt;Biopsy",'SERVICE ENTRY'!$G$4:$G$1200,"Unknown or Other")</f>
        <v>0</v>
      </c>
      <c r="J24" s="104">
        <f>COUNTIFS('SERVICE ENTRY'!$AL$4:$AL$1200,'Breast Cancers Diagnosed Report'!A24, 'SERVICE ENTRY'!$AJ$4:$AJ$1200, "&lt;&gt;Biopsy",'SERVICE ENTRY'!$AK$4:$AK$1200, "&lt;&gt;Biopsy",'SERVICE ENTRY'!$F$4:$F$1200,"Colombian")+COUNTIFS('SERVICE ENTRY'!$AL$4:$AL$1200,'Breast Cancers Diagnosed Report'!A24, 'SERVICE ENTRY'!$AJ$4:$AJ$1200, "&lt;&gt;Biopsy",'SERVICE ENTRY'!$AK$4:$AK$1200, "&lt;&gt;Biopsy",'SERVICE ENTRY'!$F$4:$F$1200,"Cuban")+COUNTIFS('SERVICE ENTRY'!$AL$4:$AL$1200,'Breast Cancers Diagnosed Report'!A24, 'SERVICE ENTRY'!$AJ$4:$AJ$1200, "&lt;&gt;Biopsy",'SERVICE ENTRY'!$AK$4:$AK$1200, "&lt;&gt;Biopsy",'SERVICE ENTRY'!$F$4:$F$1200,"Dominican")+COUNTIFS('SERVICE ENTRY'!$AL$4:$AL$1200,'Breast Cancers Diagnosed Report'!A24, 'SERVICE ENTRY'!$AJ$4:$AJ$1200, "&lt;&gt;Biopsy",'SERVICE ENTRY'!$AK$4:$AK$1200, "&lt;&gt;Biopsy",'SERVICE ENTRY'!$F$4:$F$1200,"Mexican/Mexican-American/Chicano")+COUNTIFS('SERVICE ENTRY'!$AL$4:$AL$1200,'Breast Cancers Diagnosed Report'!A24, 'SERVICE ENTRY'!$AJ$4:$AJ$1200, "&lt;&gt;Biopsy",'SERVICE ENTRY'!$AK$4:$AK$1200, "&lt;&gt;Biopsy",'SERVICE ENTRY'!$F$4:$F$1200,"Puerto Rican")+COUNTIFS('SERVICE ENTRY'!$AL$4:$AL$1200,'Breast Cancers Diagnosed Report'!A24, 'SERVICE ENTRY'!$AJ$4:$AJ$1200, "&lt;&gt;Biopsy",'SERVICE ENTRY'!$AK$4:$AK$1200, "&lt;&gt;Biopsy",'SERVICE ENTRY'!$F$4:$F$1200,"Salvadoran")+COUNTIFS('SERVICE ENTRY'!$AL$4:$AL$1200,'Breast Cancers Diagnosed Report'!A24, 'SERVICE ENTRY'!$AJ$4:$AJ$1200, "&lt;&gt;Biopsy",'SERVICE ENTRY'!$AK$4:$AK$1200, "&lt;&gt;Biopsy",'SERVICE ENTRY'!$F$4:$F$1200,"Other Hispanic/Latino/Spanish origin")</f>
        <v>0</v>
      </c>
      <c r="K24" s="98">
        <f>COUNTIFS('SERVICE ENTRY'!$AL$4:$AL$1200,'Breast Cancers Diagnosed Report'!A24, 'SERVICE ENTRY'!$AJ$4:$AJ$1200, "&lt;&gt;Biopsy",'SERVICE ENTRY'!$AK$4:$AK$1200, "&lt;&gt;Biopsy",'SERVICE ENTRY'!$F$4:$F$1200,"Not of Hispanic/Latino/Spanish origin")</f>
        <v>0</v>
      </c>
      <c r="L24" s="98">
        <f>COUNTIFS('SERVICE ENTRY'!$AL$4:$AL$1200,'Breast Cancers Diagnosed Report'!A24, 'SERVICE ENTRY'!$AJ$4:$AJ$1200, "&lt;&gt;Biopsy",'SERVICE ENTRY'!$AK$4:$AK$1200, "&lt;&gt;Biopsy",'SERVICE ENTRY'!$F$4:$F$1200,"Unknown or Other")</f>
        <v>0</v>
      </c>
    </row>
    <row r="25" spans="1:12" ht="15" customHeight="1" thickBot="1" x14ac:dyDescent="0.3">
      <c r="A25" s="365" t="s">
        <v>322</v>
      </c>
      <c r="B25" s="367">
        <f>SUM(B19:B24)</f>
        <v>0</v>
      </c>
      <c r="C25" s="198">
        <f>SUM(C19:C24)</f>
        <v>0</v>
      </c>
      <c r="D25" s="273">
        <f t="shared" ref="D25:L25" si="1">SUM(D19:D24)</f>
        <v>0</v>
      </c>
      <c r="E25" s="273">
        <f t="shared" si="1"/>
        <v>0</v>
      </c>
      <c r="F25" s="273">
        <f t="shared" si="1"/>
        <v>0</v>
      </c>
      <c r="G25" s="273">
        <f t="shared" si="1"/>
        <v>0</v>
      </c>
      <c r="H25" s="273">
        <f t="shared" si="1"/>
        <v>0</v>
      </c>
      <c r="I25" s="274">
        <f t="shared" si="1"/>
        <v>0</v>
      </c>
      <c r="J25" s="198">
        <f t="shared" si="1"/>
        <v>0</v>
      </c>
      <c r="K25" s="273">
        <f t="shared" si="1"/>
        <v>0</v>
      </c>
      <c r="L25" s="273">
        <f t="shared" si="1"/>
        <v>0</v>
      </c>
    </row>
    <row r="26" spans="1:12" ht="28.5" customHeight="1" thickBot="1" x14ac:dyDescent="0.3">
      <c r="A26" s="366"/>
      <c r="B26" s="368"/>
      <c r="C26" s="372">
        <f>SUM(C25:I25)</f>
        <v>0</v>
      </c>
      <c r="D26" s="373"/>
      <c r="E26" s="373"/>
      <c r="F26" s="373"/>
      <c r="G26" s="373"/>
      <c r="H26" s="373"/>
      <c r="I26" s="373"/>
      <c r="J26" s="372">
        <f>SUM(J25:L25)</f>
        <v>0</v>
      </c>
      <c r="K26" s="373"/>
      <c r="L26" s="374"/>
    </row>
    <row r="29" spans="1:12" ht="60" x14ac:dyDescent="0.2">
      <c r="A29" s="139" t="s">
        <v>362</v>
      </c>
      <c r="B29" s="148" t="s">
        <v>361</v>
      </c>
      <c r="C29" s="176" t="s">
        <v>250</v>
      </c>
      <c r="D29" s="176" t="s">
        <v>251</v>
      </c>
      <c r="E29" s="176" t="s">
        <v>246</v>
      </c>
      <c r="F29" s="176" t="s">
        <v>373</v>
      </c>
      <c r="G29" s="176" t="s">
        <v>252</v>
      </c>
      <c r="H29" s="176" t="s">
        <v>248</v>
      </c>
      <c r="I29" s="143" t="s">
        <v>388</v>
      </c>
      <c r="J29" s="145" t="s">
        <v>247</v>
      </c>
      <c r="K29" s="147" t="s">
        <v>324</v>
      </c>
      <c r="L29" s="143" t="s">
        <v>388</v>
      </c>
    </row>
    <row r="30" spans="1:12" ht="15" x14ac:dyDescent="0.25">
      <c r="A30" s="68" t="s">
        <v>173</v>
      </c>
      <c r="B30" s="251">
        <f>COUNTIFS('SERVICE ENTRY'!$AL$4:$AL$1200,'Breast Cancers Diagnosed Report'!A30,'SERVICE ENTRY'!$AJ$4:$AJ$1200,"Biopsy")+COUNTIFS('SERVICE ENTRY'!$AL$4:$AL$1200,'Breast Cancers Diagnosed Report'!A30,'SERVICE ENTRY'!$AK$4:$AK$1200,"Biopsy")</f>
        <v>0</v>
      </c>
      <c r="C30" s="92">
        <f>COUNTIFS('SERVICE ENTRY'!$AL$4:$AL$1200,'Breast Cancers Diagnosed Report'!A30,'SERVICE ENTRY'!$AJ$4:$AJ$1200,"Biopsy",'SERVICE ENTRY'!$G$4:$G$1200,"American Indian or Alaska Native")+COUNTIFS('SERVICE ENTRY'!$AL$4:$AL$1200,'Breast Cancers Diagnosed Report'!A30,'SERVICE ENTRY'!$AK$4:$AK$1200,"Biopsy",'SERVICE ENTRY'!$G$4:$G$1200,"American Indian or Alaska Native")</f>
        <v>0</v>
      </c>
      <c r="D30" s="42">
        <f>COUNTIFS('SERVICE ENTRY'!$AL$4:$AL$1200,'Breast Cancers Diagnosed Report'!A30,'SERVICE ENTRY'!$AJ$4:$AJ$1200,"Biopsy",'SERVICE ENTRY'!$G$4:$G$1200,"Asian")+COUNTIFS('SERVICE ENTRY'!$AL$4:$AL$1200,'Breast Cancers Diagnosed Report'!A30,'SERVICE ENTRY'!$AK$4:$AK$1200,"Biopsy",'SERVICE ENTRY'!$G$4:$G$1200,"Asian")</f>
        <v>0</v>
      </c>
      <c r="E30" s="42">
        <f>COUNTIFS('SERVICE ENTRY'!$AL$4:$AL$1200,'Breast Cancers Diagnosed Report'!A30,'SERVICE ENTRY'!$AJ$4:$AJ$1200,"Biopsy",'SERVICE ENTRY'!$G$4:$G$1200,"Black/African-American")+COUNTIFS('SERVICE ENTRY'!$AL$4:$AL$1200,'Breast Cancers Diagnosed Report'!A30,'SERVICE ENTRY'!$AK$4:$AK$1200,"Biopsy",'SERVICE ENTRY'!$G$4:$G$1200,"Black/African-American")</f>
        <v>0</v>
      </c>
      <c r="F30" s="42">
        <f>COUNTIFS('SERVICE ENTRY'!$AL$4:$AL$1200,'Breast Cancers Diagnosed Report'!A30,'SERVICE ENTRY'!$AJ$4:$AJ$1200,"Biopsy",'SERVICE ENTRY'!$G$4:$G$1200,"Middle Eastern or North African")+COUNTIFS('SERVICE ENTRY'!$AL$4:$AL$1200,'Breast Cancers Diagnosed Report'!A30,'SERVICE ENTRY'!$AK$4:$AK$1200,"Biopsy",'SERVICE ENTRY'!$G$4:$G$1200,"Middle Eastern or North African")</f>
        <v>0</v>
      </c>
      <c r="G30" s="100">
        <f>COUNTIFS('SERVICE ENTRY'!$AL$4:$AL$1200,'Breast Cancers Diagnosed Report'!A30,'SERVICE ENTRY'!$AJ$4:$AJ$1200,"Biopsy",'SERVICE ENTRY'!$G$4:$G$1200,"Native Hawaiian or Pacific Islander")+COUNTIFS('SERVICE ENTRY'!$AL$4:$AL$1200,'Breast Cancers Diagnosed Report'!A30,'SERVICE ENTRY'!$AK$4:$AK$1200,"Biopsy",'SERVICE ENTRY'!$G$4:$G$1200,"Native Hawaiian or Pacific Islander")</f>
        <v>0</v>
      </c>
      <c r="H30" s="100">
        <f>COUNTIFS('SERVICE ENTRY'!$AL$4:$AL$1200,'Breast Cancers Diagnosed Report'!A30,'SERVICE ENTRY'!$AJ$4:$AJ$1200,"Biopsy",'SERVICE ENTRY'!$G$4:$G$1200,"White")+COUNTIFS('SERVICE ENTRY'!$AL$4:$AL$1200,'Breast Cancers Diagnosed Report'!A30,'SERVICE ENTRY'!$AK$4:$AK$1200,"Biopsy",'SERVICE ENTRY'!$G$4:$G$1200,"White")</f>
        <v>0</v>
      </c>
      <c r="I30" s="106">
        <f>COUNTIFS('SERVICE ENTRY'!$AL$4:$AL$1200,'Breast Cancers Diagnosed Report'!A30,'SERVICE ENTRY'!$AJ$4:$AJ$1200,"Biopsy",'SERVICE ENTRY'!$G$4:$G$1200,"Unknown or Other")+COUNTIFS('SERVICE ENTRY'!$AL$4:$AL$1200,'Breast Cancers Diagnosed Report'!A30,'SERVICE ENTRY'!$AK$4:$AK$1200,"Biopsy",'SERVICE ENTRY'!$G$4:$G$1200,"Unknown or Other")</f>
        <v>0</v>
      </c>
      <c r="J30" s="102">
        <f>COUNTIFS('SERVICE ENTRY'!$AL$4:$AL$1200,'Breast Cancers Diagnosed Report'!A30,'SERVICE ENTRY'!$AJ$4:$AJ$1200,"Biopsy",'SERVICE ENTRY'!$G$4:$G$1200,"Colombian")+COUNTIFS('SERVICE ENTRY'!$AL$4:$AL$1200,'Breast Cancers Diagnosed Report'!A30,'SERVICE ENTRY'!$AK$4:$AK$1200,"Biopsy",'SERVICE ENTRY'!$F$4:$F$1200,"Colombian")+COUNTIFS('SERVICE ENTRY'!$AL$4:$AL$1200,'Breast Cancers Diagnosed Report'!A30,'SERVICE ENTRY'!$AJ$4:$AJ$1200,"Biopsy",'SERVICE ENTRY'!$F$4:$F$1200,"Cuban")+COUNTIFS('SERVICE ENTRY'!$AL$4:$AL$1200,'Breast Cancers Diagnosed Report'!A30,'SERVICE ENTRY'!$AK$4:$AK$1200,"Biopsy",'SERVICE ENTRY'!$F$4:$F$1200,"Cuban")+COUNTIFS('SERVICE ENTRY'!$AL$4:$AL$1200,'Breast Cancers Diagnosed Report'!A30,'SERVICE ENTRY'!$AJ$4:$AJ$1200,"Biopsy",'SERVICE ENTRY'!$F$4:$F$1200,"Dominican")+COUNTIFS('SERVICE ENTRY'!$AL$4:$AL$1200,'Breast Cancers Diagnosed Report'!A30,'SERVICE ENTRY'!$AK$4:$AK$1200,"Biopsy",'SERVICE ENTRY'!$F$4:$F$1200,"Dominican")+COUNTIFS('SERVICE ENTRY'!$AL$4:$AL$1200,'Breast Cancers Diagnosed Report'!A30,'SERVICE ENTRY'!$AJ$4:$AJ$1200,"Biopsy",'SERVICE ENTRY'!$F$4:$F$1200,"Mexican/Mexican-American/Chicano")+COUNTIFS('SERVICE ENTRY'!$AL$4:$AL$1200,'Breast Cancers Diagnosed Report'!A30,'SERVICE ENTRY'!$AK$4:$AK$1200,"Biopsy",'SERVICE ENTRY'!$F$4:$F$1200,"Mexican/Mexican-American/Chicano")+COUNTIFS('SERVICE ENTRY'!$AL$4:$AL$1200,'Breast Cancers Diagnosed Report'!A30,'SERVICE ENTRY'!$AJ$4:$AJ$1200,"Biopsy",'SERVICE ENTRY'!$F$4:$F$1200,"Puerto Rican")+COUNTIFS('SERVICE ENTRY'!$AL$4:$AL$1200,'Breast Cancers Diagnosed Report'!A30,'SERVICE ENTRY'!$AK$4:$AK$1200,"Biopsy",'SERVICE ENTRY'!$F$4:$F$1200,"Puerto Rican")+COUNTIFS('SERVICE ENTRY'!$AL$4:$AL$1200,'Breast Cancers Diagnosed Report'!A30,'SERVICE ENTRY'!$AJ$4:$AJ$1200,"Biopsy",'SERVICE ENTRY'!$F$4:$F$1200,"Salvadoran")+COUNTIFS('SERVICE ENTRY'!$AL$4:$AL$1200,'Breast Cancers Diagnosed Report'!A30,'SERVICE ENTRY'!$AK$4:$AK$1200,"Biopsy",'SERVICE ENTRY'!$F$4:$F$1200,"Salvadoran")+COUNTIFS('SERVICE ENTRY'!$AL$4:$AL$1200,'Breast Cancers Diagnosed Report'!A30,'SERVICE ENTRY'!$AJ$4:$AJ$1200,"Biopsy",'SERVICE ENTRY'!$F$4:$F$1200,"Other Hispanic/Latino/Spanish origin")+COUNTIFS('SERVICE ENTRY'!$AL$4:$AL$1200,'Breast Cancers Diagnosed Report'!A30,'SERVICE ENTRY'!$AK$4:$AK$1200,"Biopsy",'SERVICE ENTRY'!$F$4:$F$1200,"Other Hispanic/Latino/Spanish origin")</f>
        <v>0</v>
      </c>
      <c r="K30" s="42">
        <f>+COUNTIFS('SERVICE ENTRY'!$AL$4:$AL$1200,'Breast Cancers Diagnosed Report'!A30,'SERVICE ENTRY'!$AJ$4:$AJ$1200,"Biopsy",'SERVICE ENTRY'!$F$4:$F$1200,"Not of Hispanic/Latino/Spanish origin")+COUNTIFS('SERVICE ENTRY'!$AL$4:$AL$1200,'Breast Cancers Diagnosed Report'!A30,'SERVICE ENTRY'!$AK$4:$AK$1200,"Biopsy",'SERVICE ENTRY'!$F$4:$F$1200,"Not of Hispanic/Latino/Spanish origin")</f>
        <v>0</v>
      </c>
      <c r="L30" s="42">
        <f>+COUNTIFS('SERVICE ENTRY'!$AL$4:$AL$1200,'Breast Cancers Diagnosed Report'!A30,'SERVICE ENTRY'!$AJ$4:$AJ$1200,"Biopsy",'SERVICE ENTRY'!$F$4:$F$1200,"Unknown or Other")+COUNTIFS('SERVICE ENTRY'!$AL$4:$AL$1200,'Breast Cancers Diagnosed Report'!A30,'SERVICE ENTRY'!$AK$4:$AK$1200,"Biopsy",'SERVICE ENTRY'!$F$4:$F$1200,"Unknown or Other")</f>
        <v>0</v>
      </c>
    </row>
    <row r="31" spans="1:12" ht="15" x14ac:dyDescent="0.25">
      <c r="A31" s="68" t="s">
        <v>174</v>
      </c>
      <c r="B31" s="251">
        <f>COUNTIFS('SERVICE ENTRY'!$AL$4:$AL$1200,'Breast Cancers Diagnosed Report'!A31,'SERVICE ENTRY'!$AJ$4:$AJ$1200,"Biopsy")+COUNTIFS('SERVICE ENTRY'!$AL$4:$AL$1200,'Breast Cancers Diagnosed Report'!A31,'SERVICE ENTRY'!$AK$4:$AK$1200,"Biopsy")</f>
        <v>0</v>
      </c>
      <c r="C31" s="92">
        <f>COUNTIFS('SERVICE ENTRY'!$AL$4:$AL$1200,'Breast Cancers Diagnosed Report'!A31,'SERVICE ENTRY'!$AJ$4:$AJ$1200,"Biopsy",'SERVICE ENTRY'!$G$4:$G$1200,"American Indian or Alaska Native")+COUNTIFS('SERVICE ENTRY'!$AL$4:$AL$1200,'Breast Cancers Diagnosed Report'!A31,'SERVICE ENTRY'!$AK$4:$AK$1200,"Biopsy",'SERVICE ENTRY'!$G$4:$G$1200,"American Indian or Alaska Native")</f>
        <v>0</v>
      </c>
      <c r="D31" s="42">
        <f>COUNTIFS('SERVICE ENTRY'!$AL$4:$AL$1200,'Breast Cancers Diagnosed Report'!A31,'SERVICE ENTRY'!$AJ$4:$AJ$1200,"Biopsy",'SERVICE ENTRY'!$G$4:$G$1200,"Asian")+COUNTIFS('SERVICE ENTRY'!$AL$4:$AL$1200,'Breast Cancers Diagnosed Report'!A31,'SERVICE ENTRY'!$AK$4:$AK$1200,"Biopsy",'SERVICE ENTRY'!$G$4:$G$1200,"Asian")</f>
        <v>0</v>
      </c>
      <c r="E31" s="42">
        <f>COUNTIFS('SERVICE ENTRY'!$AL$4:$AL$1200,'Breast Cancers Diagnosed Report'!A31,'SERVICE ENTRY'!$AJ$4:$AJ$1200,"Biopsy",'SERVICE ENTRY'!$G$4:$G$1200,"Black/African-American")+COUNTIFS('SERVICE ENTRY'!$AL$4:$AL$1200,'Breast Cancers Diagnosed Report'!A31,'SERVICE ENTRY'!$AK$4:$AK$1200,"Biopsy",'SERVICE ENTRY'!$G$4:$G$1200,"Black/African-American")</f>
        <v>0</v>
      </c>
      <c r="F31" s="42">
        <f>COUNTIFS('SERVICE ENTRY'!$AL$4:$AL$1200,'Breast Cancers Diagnosed Report'!A31,'SERVICE ENTRY'!$AJ$4:$AJ$1200,"Biopsy",'SERVICE ENTRY'!$G$4:$G$1200,"Middle Eastern or North African")+COUNTIFS('SERVICE ENTRY'!$AL$4:$AL$1200,'Breast Cancers Diagnosed Report'!A31,'SERVICE ENTRY'!$AK$4:$AK$1200,"Biopsy",'SERVICE ENTRY'!$G$4:$G$1200,"Middle Eastern or North African")</f>
        <v>0</v>
      </c>
      <c r="G31" s="100">
        <f>COUNTIFS('SERVICE ENTRY'!$AL$4:$AL$1200,'Breast Cancers Diagnosed Report'!A31,'SERVICE ENTRY'!$AJ$4:$AJ$1200,"Biopsy",'SERVICE ENTRY'!$G$4:$G$1200,"Native Hawaiian or Pacific Islander")+COUNTIFS('SERVICE ENTRY'!$AL$4:$AL$1200,'Breast Cancers Diagnosed Report'!A31,'SERVICE ENTRY'!$AK$4:$AK$1200,"Biopsy",'SERVICE ENTRY'!$G$4:$G$1200,"Native Hawaiian or Pacific Islander")</f>
        <v>0</v>
      </c>
      <c r="H31" s="100">
        <f>COUNTIFS('SERVICE ENTRY'!$AL$4:$AL$1200,'Breast Cancers Diagnosed Report'!A31,'SERVICE ENTRY'!$AJ$4:$AJ$1200,"Biopsy",'SERVICE ENTRY'!$G$4:$G$1200,"White")+COUNTIFS('SERVICE ENTRY'!$AL$4:$AL$1200,'Breast Cancers Diagnosed Report'!A31,'SERVICE ENTRY'!$AK$4:$AK$1200,"Biopsy",'SERVICE ENTRY'!$G$4:$G$1200,"White")</f>
        <v>0</v>
      </c>
      <c r="I31" s="106">
        <f>COUNTIFS('SERVICE ENTRY'!$AL$4:$AL$1200,'Breast Cancers Diagnosed Report'!A31,'SERVICE ENTRY'!$AJ$4:$AJ$1200,"Biopsy",'SERVICE ENTRY'!$G$4:$G$1200,"Unknown or Other")+COUNTIFS('SERVICE ENTRY'!$AL$4:$AL$1200,'Breast Cancers Diagnosed Report'!A31,'SERVICE ENTRY'!$AK$4:$AK$1200,"Biopsy",'SERVICE ENTRY'!$G$4:$G$1200,"Unknown or Other")</f>
        <v>0</v>
      </c>
      <c r="J31" s="102">
        <f>COUNTIFS('SERVICE ENTRY'!$AL$4:$AL$1200,'Breast Cancers Diagnosed Report'!A31,'SERVICE ENTRY'!$AJ$4:$AJ$1200,"Biopsy",'SERVICE ENTRY'!$G$4:$G$1200,"Colombian")+COUNTIFS('SERVICE ENTRY'!$AL$4:$AL$1200,'Breast Cancers Diagnosed Report'!A31,'SERVICE ENTRY'!$AK$4:$AK$1200,"Biopsy",'SERVICE ENTRY'!$F$4:$F$1200,"Colombian")+COUNTIFS('SERVICE ENTRY'!$AL$4:$AL$1200,'Breast Cancers Diagnosed Report'!A31,'SERVICE ENTRY'!$AJ$4:$AJ$1200,"Biopsy",'SERVICE ENTRY'!$F$4:$F$1200,"Cuban")+COUNTIFS('SERVICE ENTRY'!$AL$4:$AL$1200,'Breast Cancers Diagnosed Report'!A31,'SERVICE ENTRY'!$AK$4:$AK$1200,"Biopsy",'SERVICE ENTRY'!$F$4:$F$1200,"Cuban")+COUNTIFS('SERVICE ENTRY'!$AL$4:$AL$1200,'Breast Cancers Diagnosed Report'!A31,'SERVICE ENTRY'!$AJ$4:$AJ$1200,"Biopsy",'SERVICE ENTRY'!$F$4:$F$1200,"Dominican")+COUNTIFS('SERVICE ENTRY'!$AL$4:$AL$1200,'Breast Cancers Diagnosed Report'!A31,'SERVICE ENTRY'!$AK$4:$AK$1200,"Biopsy",'SERVICE ENTRY'!$F$4:$F$1200,"Dominican")+COUNTIFS('SERVICE ENTRY'!$AL$4:$AL$1200,'Breast Cancers Diagnosed Report'!A31,'SERVICE ENTRY'!$AJ$4:$AJ$1200,"Biopsy",'SERVICE ENTRY'!$F$4:$F$1200,"Mexican/Mexican-American/Chicano")+COUNTIFS('SERVICE ENTRY'!$AL$4:$AL$1200,'Breast Cancers Diagnosed Report'!A31,'SERVICE ENTRY'!$AK$4:$AK$1200,"Biopsy",'SERVICE ENTRY'!$F$4:$F$1200,"Mexican/Mexican-American/Chicano")+COUNTIFS('SERVICE ENTRY'!$AL$4:$AL$1200,'Breast Cancers Diagnosed Report'!A31,'SERVICE ENTRY'!$AJ$4:$AJ$1200,"Biopsy",'SERVICE ENTRY'!$F$4:$F$1200,"Puerto Rican")+COUNTIFS('SERVICE ENTRY'!$AL$4:$AL$1200,'Breast Cancers Diagnosed Report'!A31,'SERVICE ENTRY'!$AK$4:$AK$1200,"Biopsy",'SERVICE ENTRY'!$F$4:$F$1200,"Puerto Rican")+COUNTIFS('SERVICE ENTRY'!$AL$4:$AL$1200,'Breast Cancers Diagnosed Report'!A31,'SERVICE ENTRY'!$AJ$4:$AJ$1200,"Biopsy",'SERVICE ENTRY'!$F$4:$F$1200,"Salvadoran")+COUNTIFS('SERVICE ENTRY'!$AL$4:$AL$1200,'Breast Cancers Diagnosed Report'!A31,'SERVICE ENTRY'!$AK$4:$AK$1200,"Biopsy",'SERVICE ENTRY'!$F$4:$F$1200,"Salvadoran")+COUNTIFS('SERVICE ENTRY'!$AL$4:$AL$1200,'Breast Cancers Diagnosed Report'!A31,'SERVICE ENTRY'!$AJ$4:$AJ$1200,"Biopsy",'SERVICE ENTRY'!$F$4:$F$1200,"Other Hispanic/Latino/Spanish origin")+COUNTIFS('SERVICE ENTRY'!$AL$4:$AL$1200,'Breast Cancers Diagnosed Report'!A31,'SERVICE ENTRY'!$AK$4:$AK$1200,"Biopsy",'SERVICE ENTRY'!$F$4:$F$1200,"Other Hispanic/Latino/Spanish origin")</f>
        <v>0</v>
      </c>
      <c r="K31" s="42">
        <f>+COUNTIFS('SERVICE ENTRY'!$AL$4:$AL$1200,'Breast Cancers Diagnosed Report'!A31,'SERVICE ENTRY'!$AJ$4:$AJ$1200,"Biopsy",'SERVICE ENTRY'!$F$4:$F$1200,"Not of Hispanic/Latino/Spanish origin")+COUNTIFS('SERVICE ENTRY'!$AL$4:$AL$1200,'Breast Cancers Diagnosed Report'!A31,'SERVICE ENTRY'!$AK$4:$AK$1200,"Biopsy",'SERVICE ENTRY'!$F$4:$F$1200,"Not of Hispanic/Latino/Spanish origin")</f>
        <v>0</v>
      </c>
      <c r="L31" s="42">
        <f>+COUNTIFS('SERVICE ENTRY'!$AL$4:$AL$1200,'Breast Cancers Diagnosed Report'!A31,'SERVICE ENTRY'!$AJ$4:$AJ$1200,"Biopsy",'SERVICE ENTRY'!$F$4:$F$1200,"Unknown or Other")+COUNTIFS('SERVICE ENTRY'!$AL$4:$AL$1200,'Breast Cancers Diagnosed Report'!A31,'SERVICE ENTRY'!$AK$4:$AK$1200,"Biopsy",'SERVICE ENTRY'!$F$4:$F$1200,"Unknown or Other")</f>
        <v>0</v>
      </c>
    </row>
    <row r="32" spans="1:12" ht="15" x14ac:dyDescent="0.25">
      <c r="A32" s="68" t="s">
        <v>99</v>
      </c>
      <c r="B32" s="251">
        <f>COUNTIFS('SERVICE ENTRY'!$AL$4:$AL$1200,'Breast Cancers Diagnosed Report'!A32,'SERVICE ENTRY'!$AJ$4:$AJ$1200,"Biopsy")+COUNTIFS('SERVICE ENTRY'!$AL$4:$AL$1200,'Breast Cancers Diagnosed Report'!A32,'SERVICE ENTRY'!$AK$4:$AK$1200,"Biopsy")</f>
        <v>0</v>
      </c>
      <c r="C32" s="92">
        <f>COUNTIFS('SERVICE ENTRY'!$AL$4:$AL$1200,'Breast Cancers Diagnosed Report'!A32,'SERVICE ENTRY'!$AJ$4:$AJ$1200,"Biopsy",'SERVICE ENTRY'!$G$4:$G$1200,"American Indian or Alaska Native")+COUNTIFS('SERVICE ENTRY'!$AL$4:$AL$1200,'Breast Cancers Diagnosed Report'!A32,'SERVICE ENTRY'!$AK$4:$AK$1200,"Biopsy",'SERVICE ENTRY'!$G$4:$G$1200,"American Indian or Alaska Native")</f>
        <v>0</v>
      </c>
      <c r="D32" s="42">
        <f>COUNTIFS('SERVICE ENTRY'!$AL$4:$AL$1200,'Breast Cancers Diagnosed Report'!A32,'SERVICE ENTRY'!$AJ$4:$AJ$1200,"Biopsy",'SERVICE ENTRY'!$G$4:$G$1200,"Asian")+COUNTIFS('SERVICE ENTRY'!$AL$4:$AL$1200,'Breast Cancers Diagnosed Report'!A32,'SERVICE ENTRY'!$AK$4:$AK$1200,"Biopsy",'SERVICE ENTRY'!$G$4:$G$1200,"Asian")</f>
        <v>0</v>
      </c>
      <c r="E32" s="42">
        <f>COUNTIFS('SERVICE ENTRY'!$AL$4:$AL$1200,'Breast Cancers Diagnosed Report'!A32,'SERVICE ENTRY'!$AJ$4:$AJ$1200,"Biopsy",'SERVICE ENTRY'!$G$4:$G$1200,"Black/African-American")+COUNTIFS('SERVICE ENTRY'!$AL$4:$AL$1200,'Breast Cancers Diagnosed Report'!A32,'SERVICE ENTRY'!$AK$4:$AK$1200,"Biopsy",'SERVICE ENTRY'!$G$4:$G$1200,"Black/African-American")</f>
        <v>0</v>
      </c>
      <c r="F32" s="42">
        <f>COUNTIFS('SERVICE ENTRY'!$AL$4:$AL$1200,'Breast Cancers Diagnosed Report'!A32,'SERVICE ENTRY'!$AJ$4:$AJ$1200,"Biopsy",'SERVICE ENTRY'!$G$4:$G$1200,"Middle Eastern or North African")+COUNTIFS('SERVICE ENTRY'!$AL$4:$AL$1200,'Breast Cancers Diagnosed Report'!A32,'SERVICE ENTRY'!$AK$4:$AK$1200,"Biopsy",'SERVICE ENTRY'!$G$4:$G$1200,"Middle Eastern or North African")</f>
        <v>0</v>
      </c>
      <c r="G32" s="100">
        <f>COUNTIFS('SERVICE ENTRY'!$AL$4:$AL$1200,'Breast Cancers Diagnosed Report'!A32,'SERVICE ENTRY'!$AJ$4:$AJ$1200,"Biopsy",'SERVICE ENTRY'!$G$4:$G$1200,"Native Hawaiian or Pacific Islander")+COUNTIFS('SERVICE ENTRY'!$AL$4:$AL$1200,'Breast Cancers Diagnosed Report'!A32,'SERVICE ENTRY'!$AK$4:$AK$1200,"Biopsy",'SERVICE ENTRY'!$G$4:$G$1200,"Native Hawaiian or Pacific Islander")</f>
        <v>0</v>
      </c>
      <c r="H32" s="100">
        <f>COUNTIFS('SERVICE ENTRY'!$AL$4:$AL$1200,'Breast Cancers Diagnosed Report'!A32,'SERVICE ENTRY'!$AJ$4:$AJ$1200,"Biopsy",'SERVICE ENTRY'!$G$4:$G$1200,"White")+COUNTIFS('SERVICE ENTRY'!$AL$4:$AL$1200,'Breast Cancers Diagnosed Report'!A32,'SERVICE ENTRY'!$AK$4:$AK$1200,"Biopsy",'SERVICE ENTRY'!$G$4:$G$1200,"White")</f>
        <v>0</v>
      </c>
      <c r="I32" s="106">
        <f>COUNTIFS('SERVICE ENTRY'!$AL$4:$AL$1200,'Breast Cancers Diagnosed Report'!A32,'SERVICE ENTRY'!$AJ$4:$AJ$1200,"Biopsy",'SERVICE ENTRY'!$G$4:$G$1200,"Unknown or Other")+COUNTIFS('SERVICE ENTRY'!$AL$4:$AL$1200,'Breast Cancers Diagnosed Report'!A32,'SERVICE ENTRY'!$AK$4:$AK$1200,"Biopsy",'SERVICE ENTRY'!$G$4:$G$1200,"Unknown or Other")</f>
        <v>0</v>
      </c>
      <c r="J32" s="102">
        <f>COUNTIFS('SERVICE ENTRY'!$AL$4:$AL$1200,'Breast Cancers Diagnosed Report'!A32,'SERVICE ENTRY'!$AJ$4:$AJ$1200,"Biopsy",'SERVICE ENTRY'!$G$4:$G$1200,"Colombian")+COUNTIFS('SERVICE ENTRY'!$AL$4:$AL$1200,'Breast Cancers Diagnosed Report'!A32,'SERVICE ENTRY'!$AK$4:$AK$1200,"Biopsy",'SERVICE ENTRY'!$F$4:$F$1200,"Colombian")+COUNTIFS('SERVICE ENTRY'!$AL$4:$AL$1200,'Breast Cancers Diagnosed Report'!A32,'SERVICE ENTRY'!$AJ$4:$AJ$1200,"Biopsy",'SERVICE ENTRY'!$F$4:$F$1200,"Cuban")+COUNTIFS('SERVICE ENTRY'!$AL$4:$AL$1200,'Breast Cancers Diagnosed Report'!A32,'SERVICE ENTRY'!$AK$4:$AK$1200,"Biopsy",'SERVICE ENTRY'!$F$4:$F$1200,"Cuban")+COUNTIFS('SERVICE ENTRY'!$AL$4:$AL$1200,'Breast Cancers Diagnosed Report'!A32,'SERVICE ENTRY'!$AJ$4:$AJ$1200,"Biopsy",'SERVICE ENTRY'!$F$4:$F$1200,"Dominican")+COUNTIFS('SERVICE ENTRY'!$AL$4:$AL$1200,'Breast Cancers Diagnosed Report'!A32,'SERVICE ENTRY'!$AK$4:$AK$1200,"Biopsy",'SERVICE ENTRY'!$F$4:$F$1200,"Dominican")+COUNTIFS('SERVICE ENTRY'!$AL$4:$AL$1200,'Breast Cancers Diagnosed Report'!A32,'SERVICE ENTRY'!$AJ$4:$AJ$1200,"Biopsy",'SERVICE ENTRY'!$F$4:$F$1200,"Mexican/Mexican-American/Chicano")+COUNTIFS('SERVICE ENTRY'!$AL$4:$AL$1200,'Breast Cancers Diagnosed Report'!A32,'SERVICE ENTRY'!$AK$4:$AK$1200,"Biopsy",'SERVICE ENTRY'!$F$4:$F$1200,"Mexican/Mexican-American/Chicano")+COUNTIFS('SERVICE ENTRY'!$AL$4:$AL$1200,'Breast Cancers Diagnosed Report'!A32,'SERVICE ENTRY'!$AJ$4:$AJ$1200,"Biopsy",'SERVICE ENTRY'!$F$4:$F$1200,"Puerto Rican")+COUNTIFS('SERVICE ENTRY'!$AL$4:$AL$1200,'Breast Cancers Diagnosed Report'!A32,'SERVICE ENTRY'!$AK$4:$AK$1200,"Biopsy",'SERVICE ENTRY'!$F$4:$F$1200,"Puerto Rican")+COUNTIFS('SERVICE ENTRY'!$AL$4:$AL$1200,'Breast Cancers Diagnosed Report'!A32,'SERVICE ENTRY'!$AJ$4:$AJ$1200,"Biopsy",'SERVICE ENTRY'!$F$4:$F$1200,"Salvadoran")+COUNTIFS('SERVICE ENTRY'!$AL$4:$AL$1200,'Breast Cancers Diagnosed Report'!A32,'SERVICE ENTRY'!$AK$4:$AK$1200,"Biopsy",'SERVICE ENTRY'!$F$4:$F$1200,"Salvadoran")+COUNTIFS('SERVICE ENTRY'!$AL$4:$AL$1200,'Breast Cancers Diagnosed Report'!A32,'SERVICE ENTRY'!$AJ$4:$AJ$1200,"Biopsy",'SERVICE ENTRY'!$F$4:$F$1200,"Other Hispanic/Latino/Spanish origin")+COUNTIFS('SERVICE ENTRY'!$AL$4:$AL$1200,'Breast Cancers Diagnosed Report'!A32,'SERVICE ENTRY'!$AK$4:$AK$1200,"Biopsy",'SERVICE ENTRY'!$F$4:$F$1200,"Other Hispanic/Latino/Spanish origin")</f>
        <v>0</v>
      </c>
      <c r="K32" s="42">
        <f>+COUNTIFS('SERVICE ENTRY'!$AL$4:$AL$1200,'Breast Cancers Diagnosed Report'!A32,'SERVICE ENTRY'!$AJ$4:$AJ$1200,"Biopsy",'SERVICE ENTRY'!$F$4:$F$1200,"Not of Hispanic/Latino/Spanish origin")+COUNTIFS('SERVICE ENTRY'!$AL$4:$AL$1200,'Breast Cancers Diagnosed Report'!A32,'SERVICE ENTRY'!$AK$4:$AK$1200,"Biopsy",'SERVICE ENTRY'!$F$4:$F$1200,"Not of Hispanic/Latino/Spanish origin")</f>
        <v>0</v>
      </c>
      <c r="L32" s="42">
        <f>+COUNTIFS('SERVICE ENTRY'!$AL$4:$AL$1200,'Breast Cancers Diagnosed Report'!A32,'SERVICE ENTRY'!$AJ$4:$AJ$1200,"Biopsy",'SERVICE ENTRY'!$F$4:$F$1200,"Unknown or Other")+COUNTIFS('SERVICE ENTRY'!$AL$4:$AL$1200,'Breast Cancers Diagnosed Report'!A32,'SERVICE ENTRY'!$AK$4:$AK$1200,"Biopsy",'SERVICE ENTRY'!$F$4:$F$1200,"Unknown or Other")</f>
        <v>0</v>
      </c>
    </row>
    <row r="33" spans="1:12" ht="15" x14ac:dyDescent="0.25">
      <c r="A33" s="68" t="s">
        <v>175</v>
      </c>
      <c r="B33" s="251">
        <f>COUNTIFS('SERVICE ENTRY'!$AL$4:$AL$1200,'Breast Cancers Diagnosed Report'!A33,'SERVICE ENTRY'!$AJ$4:$AJ$1200,"Biopsy")+COUNTIFS('SERVICE ENTRY'!$AL$4:$AL$1200,'Breast Cancers Diagnosed Report'!A33,'SERVICE ENTRY'!$AK$4:$AK$1200,"Biopsy")</f>
        <v>0</v>
      </c>
      <c r="C33" s="92">
        <f>COUNTIFS('SERVICE ENTRY'!$AL$4:$AL$1200,'Breast Cancers Diagnosed Report'!A33,'SERVICE ENTRY'!$AJ$4:$AJ$1200,"Biopsy",'SERVICE ENTRY'!$G$4:$G$1200,"American Indian or Alaska Native")+COUNTIFS('SERVICE ENTRY'!$AL$4:$AL$1200,'Breast Cancers Diagnosed Report'!A33,'SERVICE ENTRY'!$AK$4:$AK$1200,"Biopsy",'SERVICE ENTRY'!$G$4:$G$1200,"American Indian or Alaska Native")</f>
        <v>0</v>
      </c>
      <c r="D33" s="42">
        <f>COUNTIFS('SERVICE ENTRY'!$AL$4:$AL$1200,'Breast Cancers Diagnosed Report'!A33,'SERVICE ENTRY'!$AJ$4:$AJ$1200,"Biopsy",'SERVICE ENTRY'!$G$4:$G$1200,"Asian")+COUNTIFS('SERVICE ENTRY'!$AL$4:$AL$1200,'Breast Cancers Diagnosed Report'!A33,'SERVICE ENTRY'!$AK$4:$AK$1200,"Biopsy",'SERVICE ENTRY'!$G$4:$G$1200,"Asian")</f>
        <v>0</v>
      </c>
      <c r="E33" s="42">
        <f>COUNTIFS('SERVICE ENTRY'!$AL$4:$AL$1200,'Breast Cancers Diagnosed Report'!A33,'SERVICE ENTRY'!$AJ$4:$AJ$1200,"Biopsy",'SERVICE ENTRY'!$G$4:$G$1200,"Black/African-American")+COUNTIFS('SERVICE ENTRY'!$AL$4:$AL$1200,'Breast Cancers Diagnosed Report'!A33,'SERVICE ENTRY'!$AK$4:$AK$1200,"Biopsy",'SERVICE ENTRY'!$G$4:$G$1200,"Black/African-American")</f>
        <v>0</v>
      </c>
      <c r="F33" s="42">
        <f>COUNTIFS('SERVICE ENTRY'!$AL$4:$AL$1200,'Breast Cancers Diagnosed Report'!A33,'SERVICE ENTRY'!$AJ$4:$AJ$1200,"Biopsy",'SERVICE ENTRY'!$G$4:$G$1200,"Middle Eastern or North African")+COUNTIFS('SERVICE ENTRY'!$AL$4:$AL$1200,'Breast Cancers Diagnosed Report'!A33,'SERVICE ENTRY'!$AK$4:$AK$1200,"Biopsy",'SERVICE ENTRY'!$G$4:$G$1200,"Middle Eastern or North African")</f>
        <v>0</v>
      </c>
      <c r="G33" s="100">
        <f>COUNTIFS('SERVICE ENTRY'!$AL$4:$AL$1200,'Breast Cancers Diagnosed Report'!A33,'SERVICE ENTRY'!$AJ$4:$AJ$1200,"Biopsy",'SERVICE ENTRY'!$G$4:$G$1200,"Native Hawaiian or Pacific Islander")+COUNTIFS('SERVICE ENTRY'!$AL$4:$AL$1200,'Breast Cancers Diagnosed Report'!A33,'SERVICE ENTRY'!$AK$4:$AK$1200,"Biopsy",'SERVICE ENTRY'!$G$4:$G$1200,"Native Hawaiian or Pacific Islander")</f>
        <v>0</v>
      </c>
      <c r="H33" s="100">
        <f>COUNTIFS('SERVICE ENTRY'!$AL$4:$AL$1200,'Breast Cancers Diagnosed Report'!A33,'SERVICE ENTRY'!$AJ$4:$AJ$1200,"Biopsy",'SERVICE ENTRY'!$G$4:$G$1200,"White")+COUNTIFS('SERVICE ENTRY'!$AL$4:$AL$1200,'Breast Cancers Diagnosed Report'!A33,'SERVICE ENTRY'!$AK$4:$AK$1200,"Biopsy",'SERVICE ENTRY'!$G$4:$G$1200,"White")</f>
        <v>0</v>
      </c>
      <c r="I33" s="106">
        <f>COUNTIFS('SERVICE ENTRY'!$AL$4:$AL$1200,'Breast Cancers Diagnosed Report'!A33,'SERVICE ENTRY'!$AJ$4:$AJ$1200,"Biopsy",'SERVICE ENTRY'!$G$4:$G$1200,"Unknown or Other")+COUNTIFS('SERVICE ENTRY'!$AL$4:$AL$1200,'Breast Cancers Diagnosed Report'!A33,'SERVICE ENTRY'!$AK$4:$AK$1200,"Biopsy",'SERVICE ENTRY'!$G$4:$G$1200,"Unknown or Other")</f>
        <v>0</v>
      </c>
      <c r="J33" s="102">
        <f>COUNTIFS('SERVICE ENTRY'!$AL$4:$AL$1200,'Breast Cancers Diagnosed Report'!A33,'SERVICE ENTRY'!$AJ$4:$AJ$1200,"Biopsy",'SERVICE ENTRY'!$G$4:$G$1200,"Colombian")+COUNTIFS('SERVICE ENTRY'!$AL$4:$AL$1200,'Breast Cancers Diagnosed Report'!A33,'SERVICE ENTRY'!$AK$4:$AK$1200,"Biopsy",'SERVICE ENTRY'!$F$4:$F$1200,"Colombian")+COUNTIFS('SERVICE ENTRY'!$AL$4:$AL$1200,'Breast Cancers Diagnosed Report'!A33,'SERVICE ENTRY'!$AJ$4:$AJ$1200,"Biopsy",'SERVICE ENTRY'!$F$4:$F$1200,"Cuban")+COUNTIFS('SERVICE ENTRY'!$AL$4:$AL$1200,'Breast Cancers Diagnosed Report'!A33,'SERVICE ENTRY'!$AK$4:$AK$1200,"Biopsy",'SERVICE ENTRY'!$F$4:$F$1200,"Cuban")+COUNTIFS('SERVICE ENTRY'!$AL$4:$AL$1200,'Breast Cancers Diagnosed Report'!A33,'SERVICE ENTRY'!$AJ$4:$AJ$1200,"Biopsy",'SERVICE ENTRY'!$F$4:$F$1200,"Dominican")+COUNTIFS('SERVICE ENTRY'!$AL$4:$AL$1200,'Breast Cancers Diagnosed Report'!A33,'SERVICE ENTRY'!$AK$4:$AK$1200,"Biopsy",'SERVICE ENTRY'!$F$4:$F$1200,"Dominican")+COUNTIFS('SERVICE ENTRY'!$AL$4:$AL$1200,'Breast Cancers Diagnosed Report'!A33,'SERVICE ENTRY'!$AJ$4:$AJ$1200,"Biopsy",'SERVICE ENTRY'!$F$4:$F$1200,"Mexican/Mexican-American/Chicano")+COUNTIFS('SERVICE ENTRY'!$AL$4:$AL$1200,'Breast Cancers Diagnosed Report'!A33,'SERVICE ENTRY'!$AK$4:$AK$1200,"Biopsy",'SERVICE ENTRY'!$F$4:$F$1200,"Mexican/Mexican-American/Chicano")+COUNTIFS('SERVICE ENTRY'!$AL$4:$AL$1200,'Breast Cancers Diagnosed Report'!A33,'SERVICE ENTRY'!$AJ$4:$AJ$1200,"Biopsy",'SERVICE ENTRY'!$F$4:$F$1200,"Puerto Rican")+COUNTIFS('SERVICE ENTRY'!$AL$4:$AL$1200,'Breast Cancers Diagnosed Report'!A33,'SERVICE ENTRY'!$AK$4:$AK$1200,"Biopsy",'SERVICE ENTRY'!$F$4:$F$1200,"Puerto Rican")+COUNTIFS('SERVICE ENTRY'!$AL$4:$AL$1200,'Breast Cancers Diagnosed Report'!A33,'SERVICE ENTRY'!$AJ$4:$AJ$1200,"Biopsy",'SERVICE ENTRY'!$F$4:$F$1200,"Salvadoran")+COUNTIFS('SERVICE ENTRY'!$AL$4:$AL$1200,'Breast Cancers Diagnosed Report'!A33,'SERVICE ENTRY'!$AK$4:$AK$1200,"Biopsy",'SERVICE ENTRY'!$F$4:$F$1200,"Salvadoran")+COUNTIFS('SERVICE ENTRY'!$AL$4:$AL$1200,'Breast Cancers Diagnosed Report'!A33,'SERVICE ENTRY'!$AJ$4:$AJ$1200,"Biopsy",'SERVICE ENTRY'!$F$4:$F$1200,"Other Hispanic/Latino/Spanish origin")+COUNTIFS('SERVICE ENTRY'!$AL$4:$AL$1200,'Breast Cancers Diagnosed Report'!A33,'SERVICE ENTRY'!$AK$4:$AK$1200,"Biopsy",'SERVICE ENTRY'!$F$4:$F$1200,"Other Hispanic/Latino/Spanish origin")</f>
        <v>0</v>
      </c>
      <c r="K33" s="42">
        <f>+COUNTIFS('SERVICE ENTRY'!$AL$4:$AL$1200,'Breast Cancers Diagnosed Report'!A33,'SERVICE ENTRY'!$AJ$4:$AJ$1200,"Biopsy",'SERVICE ENTRY'!$F$4:$F$1200,"Not of Hispanic/Latino/Spanish origin")+COUNTIFS('SERVICE ENTRY'!$AL$4:$AL$1200,'Breast Cancers Diagnosed Report'!A33,'SERVICE ENTRY'!$AK$4:$AK$1200,"Biopsy",'SERVICE ENTRY'!$F$4:$F$1200,"Not of Hispanic/Latino/Spanish origin")</f>
        <v>0</v>
      </c>
      <c r="L33" s="42">
        <f>+COUNTIFS('SERVICE ENTRY'!$AL$4:$AL$1200,'Breast Cancers Diagnosed Report'!A33,'SERVICE ENTRY'!$AJ$4:$AJ$1200,"Biopsy",'SERVICE ENTRY'!$F$4:$F$1200,"Unknown or Other")+COUNTIFS('SERVICE ENTRY'!$AL$4:$AL$1200,'Breast Cancers Diagnosed Report'!A33,'SERVICE ENTRY'!$AK$4:$AK$1200,"Biopsy",'SERVICE ENTRY'!$F$4:$F$1200,"Unknown or Other")</f>
        <v>0</v>
      </c>
    </row>
    <row r="34" spans="1:12" ht="15" x14ac:dyDescent="0.25">
      <c r="A34" s="68" t="s">
        <v>176</v>
      </c>
      <c r="B34" s="251">
        <f>COUNTIFS('SERVICE ENTRY'!$AL$4:$AL$1200,'Breast Cancers Diagnosed Report'!A34,'SERVICE ENTRY'!$AJ$4:$AJ$1200,"Biopsy")+COUNTIFS('SERVICE ENTRY'!$AL$4:$AL$1200,'Breast Cancers Diagnosed Report'!A34,'SERVICE ENTRY'!$AK$4:$AK$1200,"Biopsy")</f>
        <v>0</v>
      </c>
      <c r="C34" s="92">
        <f>COUNTIFS('SERVICE ENTRY'!$AL$4:$AL$1200,'Breast Cancers Diagnosed Report'!A34,'SERVICE ENTRY'!$AJ$4:$AJ$1200,"Biopsy",'SERVICE ENTRY'!$G$4:$G$1200,"American Indian or Alaska Native")+COUNTIFS('SERVICE ENTRY'!$AL$4:$AL$1200,'Breast Cancers Diagnosed Report'!A34,'SERVICE ENTRY'!$AK$4:$AK$1200,"Biopsy",'SERVICE ENTRY'!$G$4:$G$1200,"American Indian or Alaska Native")</f>
        <v>0</v>
      </c>
      <c r="D34" s="42">
        <f>COUNTIFS('SERVICE ENTRY'!$AL$4:$AL$1200,'Breast Cancers Diagnosed Report'!A34,'SERVICE ENTRY'!$AJ$4:$AJ$1200,"Biopsy",'SERVICE ENTRY'!$G$4:$G$1200,"Asian")+COUNTIFS('SERVICE ENTRY'!$AL$4:$AL$1200,'Breast Cancers Diagnosed Report'!A34,'SERVICE ENTRY'!$AK$4:$AK$1200,"Biopsy",'SERVICE ENTRY'!$G$4:$G$1200,"Asian")</f>
        <v>0</v>
      </c>
      <c r="E34" s="42">
        <f>COUNTIFS('SERVICE ENTRY'!$AL$4:$AL$1200,'Breast Cancers Diagnosed Report'!A34,'SERVICE ENTRY'!$AJ$4:$AJ$1200,"Biopsy",'SERVICE ENTRY'!$G$4:$G$1200,"Black/African-American")+COUNTIFS('SERVICE ENTRY'!$AL$4:$AL$1200,'Breast Cancers Diagnosed Report'!A34,'SERVICE ENTRY'!$AK$4:$AK$1200,"Biopsy",'SERVICE ENTRY'!$G$4:$G$1200,"Black/African-American")</f>
        <v>0</v>
      </c>
      <c r="F34" s="42">
        <f>COUNTIFS('SERVICE ENTRY'!$AL$4:$AL$1200,'Breast Cancers Diagnosed Report'!A34,'SERVICE ENTRY'!$AJ$4:$AJ$1200,"Biopsy",'SERVICE ENTRY'!$G$4:$G$1200,"Middle Eastern or North African")+COUNTIFS('SERVICE ENTRY'!$AL$4:$AL$1200,'Breast Cancers Diagnosed Report'!A34,'SERVICE ENTRY'!$AK$4:$AK$1200,"Biopsy",'SERVICE ENTRY'!$G$4:$G$1200,"Middle Eastern or North African")</f>
        <v>0</v>
      </c>
      <c r="G34" s="100">
        <f>COUNTIFS('SERVICE ENTRY'!$AL$4:$AL$1200,'Breast Cancers Diagnosed Report'!A34,'SERVICE ENTRY'!$AJ$4:$AJ$1200,"Biopsy",'SERVICE ENTRY'!$G$4:$G$1200,"Native Hawaiian or Pacific Islander")+COUNTIFS('SERVICE ENTRY'!$AL$4:$AL$1200,'Breast Cancers Diagnosed Report'!A34,'SERVICE ENTRY'!$AK$4:$AK$1200,"Biopsy",'SERVICE ENTRY'!$G$4:$G$1200,"Native Hawaiian or Pacific Islander")</f>
        <v>0</v>
      </c>
      <c r="H34" s="100">
        <f>COUNTIFS('SERVICE ENTRY'!$AL$4:$AL$1200,'Breast Cancers Diagnosed Report'!A34,'SERVICE ENTRY'!$AJ$4:$AJ$1200,"Biopsy",'SERVICE ENTRY'!$G$4:$G$1200,"White")+COUNTIFS('SERVICE ENTRY'!$AL$4:$AL$1200,'Breast Cancers Diagnosed Report'!A34,'SERVICE ENTRY'!$AK$4:$AK$1200,"Biopsy",'SERVICE ENTRY'!$G$4:$G$1200,"White")</f>
        <v>0</v>
      </c>
      <c r="I34" s="106">
        <f>COUNTIFS('SERVICE ENTRY'!$AL$4:$AL$1200,'Breast Cancers Diagnosed Report'!A34,'SERVICE ENTRY'!$AJ$4:$AJ$1200,"Biopsy",'SERVICE ENTRY'!$G$4:$G$1200,"Unknown or Other")+COUNTIFS('SERVICE ENTRY'!$AL$4:$AL$1200,'Breast Cancers Diagnosed Report'!A34,'SERVICE ENTRY'!$AK$4:$AK$1200,"Biopsy",'SERVICE ENTRY'!$G$4:$G$1200,"Unknown or Other")</f>
        <v>0</v>
      </c>
      <c r="J34" s="102">
        <f>COUNTIFS('SERVICE ENTRY'!$AL$4:$AL$1200,'Breast Cancers Diagnosed Report'!A34,'SERVICE ENTRY'!$AJ$4:$AJ$1200,"Biopsy",'SERVICE ENTRY'!$G$4:$G$1200,"Colombian")+COUNTIFS('SERVICE ENTRY'!$AL$4:$AL$1200,'Breast Cancers Diagnosed Report'!A34,'SERVICE ENTRY'!$AK$4:$AK$1200,"Biopsy",'SERVICE ENTRY'!$F$4:$F$1200,"Colombian")+COUNTIFS('SERVICE ENTRY'!$AL$4:$AL$1200,'Breast Cancers Diagnosed Report'!A34,'SERVICE ENTRY'!$AJ$4:$AJ$1200,"Biopsy",'SERVICE ENTRY'!$F$4:$F$1200,"Cuban")+COUNTIFS('SERVICE ENTRY'!$AL$4:$AL$1200,'Breast Cancers Diagnosed Report'!A34,'SERVICE ENTRY'!$AK$4:$AK$1200,"Biopsy",'SERVICE ENTRY'!$F$4:$F$1200,"Cuban")+COUNTIFS('SERVICE ENTRY'!$AL$4:$AL$1200,'Breast Cancers Diagnosed Report'!A34,'SERVICE ENTRY'!$AJ$4:$AJ$1200,"Biopsy",'SERVICE ENTRY'!$F$4:$F$1200,"Dominican")+COUNTIFS('SERVICE ENTRY'!$AL$4:$AL$1200,'Breast Cancers Diagnosed Report'!A34,'SERVICE ENTRY'!$AK$4:$AK$1200,"Biopsy",'SERVICE ENTRY'!$F$4:$F$1200,"Dominican")+COUNTIFS('SERVICE ENTRY'!$AL$4:$AL$1200,'Breast Cancers Diagnosed Report'!A34,'SERVICE ENTRY'!$AJ$4:$AJ$1200,"Biopsy",'SERVICE ENTRY'!$F$4:$F$1200,"Mexican/Mexican-American/Chicano")+COUNTIFS('SERVICE ENTRY'!$AL$4:$AL$1200,'Breast Cancers Diagnosed Report'!A34,'SERVICE ENTRY'!$AK$4:$AK$1200,"Biopsy",'SERVICE ENTRY'!$F$4:$F$1200,"Mexican/Mexican-American/Chicano")+COUNTIFS('SERVICE ENTRY'!$AL$4:$AL$1200,'Breast Cancers Diagnosed Report'!A34,'SERVICE ENTRY'!$AJ$4:$AJ$1200,"Biopsy",'SERVICE ENTRY'!$F$4:$F$1200,"Puerto Rican")+COUNTIFS('SERVICE ENTRY'!$AL$4:$AL$1200,'Breast Cancers Diagnosed Report'!A34,'SERVICE ENTRY'!$AK$4:$AK$1200,"Biopsy",'SERVICE ENTRY'!$F$4:$F$1200,"Puerto Rican")+COUNTIFS('SERVICE ENTRY'!$AL$4:$AL$1200,'Breast Cancers Diagnosed Report'!A34,'SERVICE ENTRY'!$AJ$4:$AJ$1200,"Biopsy",'SERVICE ENTRY'!$F$4:$F$1200,"Salvadoran")+COUNTIFS('SERVICE ENTRY'!$AL$4:$AL$1200,'Breast Cancers Diagnosed Report'!A34,'SERVICE ENTRY'!$AK$4:$AK$1200,"Biopsy",'SERVICE ENTRY'!$F$4:$F$1200,"Salvadoran")+COUNTIFS('SERVICE ENTRY'!$AL$4:$AL$1200,'Breast Cancers Diagnosed Report'!A34,'SERVICE ENTRY'!$AJ$4:$AJ$1200,"Biopsy",'SERVICE ENTRY'!$F$4:$F$1200,"Other Hispanic/Latino/Spanish origin")+COUNTIFS('SERVICE ENTRY'!$AL$4:$AL$1200,'Breast Cancers Diagnosed Report'!A34,'SERVICE ENTRY'!$AK$4:$AK$1200,"Biopsy",'SERVICE ENTRY'!$F$4:$F$1200,"Other Hispanic/Latino/Spanish origin")</f>
        <v>0</v>
      </c>
      <c r="K34" s="42">
        <f>+COUNTIFS('SERVICE ENTRY'!$AL$4:$AL$1200,'Breast Cancers Diagnosed Report'!A34,'SERVICE ENTRY'!$AJ$4:$AJ$1200,"Biopsy",'SERVICE ENTRY'!$F$4:$F$1200,"Not of Hispanic/Latino/Spanish origin")+COUNTIFS('SERVICE ENTRY'!$AL$4:$AL$1200,'Breast Cancers Diagnosed Report'!A34,'SERVICE ENTRY'!$AK$4:$AK$1200,"Biopsy",'SERVICE ENTRY'!$F$4:$F$1200,"Not of Hispanic/Latino/Spanish origin")</f>
        <v>0</v>
      </c>
      <c r="L34" s="42">
        <f>+COUNTIFS('SERVICE ENTRY'!$AL$4:$AL$1200,'Breast Cancers Diagnosed Report'!A34,'SERVICE ENTRY'!$AJ$4:$AJ$1200,"Biopsy",'SERVICE ENTRY'!$F$4:$F$1200,"Unknown or Other")+COUNTIFS('SERVICE ENTRY'!$AL$4:$AL$1200,'Breast Cancers Diagnosed Report'!A34,'SERVICE ENTRY'!$AK$4:$AK$1200,"Biopsy",'SERVICE ENTRY'!$F$4:$F$1200,"Unknown or Other")</f>
        <v>0</v>
      </c>
    </row>
    <row r="35" spans="1:12" ht="15.75" thickBot="1" x14ac:dyDescent="0.3">
      <c r="A35" s="113" t="s">
        <v>236</v>
      </c>
      <c r="B35" s="251">
        <f>COUNTIFS('SERVICE ENTRY'!$AL$4:$AL$1200,'Breast Cancers Diagnosed Report'!A35,'SERVICE ENTRY'!$AJ$4:$AJ$1200,"Biopsy")+COUNTIFS('SERVICE ENTRY'!$AL$4:$AL$1200,'Breast Cancers Diagnosed Report'!A35,'SERVICE ENTRY'!$AK$4:$AK$1200,"Biopsy")</f>
        <v>0</v>
      </c>
      <c r="C35" s="92">
        <f>COUNTIFS('SERVICE ENTRY'!$AL$4:$AL$1200,'Breast Cancers Diagnosed Report'!A35,'SERVICE ENTRY'!$AJ$4:$AJ$1200,"Biopsy",'SERVICE ENTRY'!$G$4:$G$1200,"American Indian or Alaska Native")+COUNTIFS('SERVICE ENTRY'!$AL$4:$AL$1200,'Breast Cancers Diagnosed Report'!A35,'SERVICE ENTRY'!$AK$4:$AK$1200,"Biopsy",'SERVICE ENTRY'!$G$4:$G$1200,"American Indian or Alaska Native")</f>
        <v>0</v>
      </c>
      <c r="D35" s="42">
        <f>COUNTIFS('SERVICE ENTRY'!$AL$4:$AL$1200,'Breast Cancers Diagnosed Report'!A35,'SERVICE ENTRY'!$AJ$4:$AJ$1200,"Biopsy",'SERVICE ENTRY'!$G$4:$G$1200,"Asian")+COUNTIFS('SERVICE ENTRY'!$AL$4:$AL$1200,'Breast Cancers Diagnosed Report'!A35,'SERVICE ENTRY'!$AK$4:$AK$1200,"Biopsy",'SERVICE ENTRY'!$G$4:$G$1200,"Asian")</f>
        <v>0</v>
      </c>
      <c r="E35" s="42">
        <f>COUNTIFS('SERVICE ENTRY'!$AL$4:$AL$1200,'Breast Cancers Diagnosed Report'!A35,'SERVICE ENTRY'!$AJ$4:$AJ$1200,"Biopsy",'SERVICE ENTRY'!$G$4:$G$1200,"Black/African-American")+COUNTIFS('SERVICE ENTRY'!$AL$4:$AL$1200,'Breast Cancers Diagnosed Report'!A35,'SERVICE ENTRY'!$AK$4:$AK$1200,"Biopsy",'SERVICE ENTRY'!$G$4:$G$1200,"Black/African-American")</f>
        <v>0</v>
      </c>
      <c r="F35" s="42">
        <f>COUNTIFS('SERVICE ENTRY'!$AL$4:$AL$1200,'Breast Cancers Diagnosed Report'!A35,'SERVICE ENTRY'!$AJ$4:$AJ$1200,"Biopsy",'SERVICE ENTRY'!$G$4:$G$1200,"Middle Eastern or North African")+COUNTIFS('SERVICE ENTRY'!$AL$4:$AL$1200,'Breast Cancers Diagnosed Report'!A35,'SERVICE ENTRY'!$AK$4:$AK$1200,"Biopsy",'SERVICE ENTRY'!$G$4:$G$1200,"Middle Eastern or North African")</f>
        <v>0</v>
      </c>
      <c r="G35" s="100">
        <f>COUNTIFS('SERVICE ENTRY'!$AL$4:$AL$1200,'Breast Cancers Diagnosed Report'!A35,'SERVICE ENTRY'!$AJ$4:$AJ$1200,"Biopsy",'SERVICE ENTRY'!$G$4:$G$1200,"Native Hawaiian or Pacific Islander")+COUNTIFS('SERVICE ENTRY'!$AL$4:$AL$1200,'Breast Cancers Diagnosed Report'!A35,'SERVICE ENTRY'!$AK$4:$AK$1200,"Biopsy",'SERVICE ENTRY'!$G$4:$G$1200,"Native Hawaiian or Pacific Islander")</f>
        <v>0</v>
      </c>
      <c r="H35" s="100">
        <f>COUNTIFS('SERVICE ENTRY'!$AL$4:$AL$1200,'Breast Cancers Diagnosed Report'!A35,'SERVICE ENTRY'!$AJ$4:$AJ$1200,"Biopsy",'SERVICE ENTRY'!$G$4:$G$1200,"White")+COUNTIFS('SERVICE ENTRY'!$AL$4:$AL$1200,'Breast Cancers Diagnosed Report'!A35,'SERVICE ENTRY'!$AK$4:$AK$1200,"Biopsy",'SERVICE ENTRY'!$G$4:$G$1200,"White")</f>
        <v>0</v>
      </c>
      <c r="I35" s="106">
        <f>COUNTIFS('SERVICE ENTRY'!$AL$4:$AL$1200,'Breast Cancers Diagnosed Report'!A35,'SERVICE ENTRY'!$AJ$4:$AJ$1200,"Biopsy",'SERVICE ENTRY'!$G$4:$G$1200,"Unknown or Other")+COUNTIFS('SERVICE ENTRY'!$AL$4:$AL$1200,'Breast Cancers Diagnosed Report'!A35,'SERVICE ENTRY'!$AK$4:$AK$1200,"Biopsy",'SERVICE ENTRY'!$G$4:$G$1200,"Unknown or Other")</f>
        <v>0</v>
      </c>
      <c r="J35" s="102">
        <f>COUNTIFS('SERVICE ENTRY'!$AL$4:$AL$1200,'Breast Cancers Diagnosed Report'!A35,'SERVICE ENTRY'!$AJ$4:$AJ$1200,"Biopsy",'SERVICE ENTRY'!$G$4:$G$1200,"Colombian")+COUNTIFS('SERVICE ENTRY'!$AL$4:$AL$1200,'Breast Cancers Diagnosed Report'!A35,'SERVICE ENTRY'!$AK$4:$AK$1200,"Biopsy",'SERVICE ENTRY'!$F$4:$F$1200,"Colombian")+COUNTIFS('SERVICE ENTRY'!$AL$4:$AL$1200,'Breast Cancers Diagnosed Report'!A35,'SERVICE ENTRY'!$AJ$4:$AJ$1200,"Biopsy",'SERVICE ENTRY'!$F$4:$F$1200,"Cuban")+COUNTIFS('SERVICE ENTRY'!$AL$4:$AL$1200,'Breast Cancers Diagnosed Report'!A35,'SERVICE ENTRY'!$AK$4:$AK$1200,"Biopsy",'SERVICE ENTRY'!$F$4:$F$1200,"Cuban")+COUNTIFS('SERVICE ENTRY'!$AL$4:$AL$1200,'Breast Cancers Diagnosed Report'!A35,'SERVICE ENTRY'!$AJ$4:$AJ$1200,"Biopsy",'SERVICE ENTRY'!$F$4:$F$1200,"Dominican")+COUNTIFS('SERVICE ENTRY'!$AL$4:$AL$1200,'Breast Cancers Diagnosed Report'!A35,'SERVICE ENTRY'!$AK$4:$AK$1200,"Biopsy",'SERVICE ENTRY'!$F$4:$F$1200,"Dominican")+COUNTIFS('SERVICE ENTRY'!$AL$4:$AL$1200,'Breast Cancers Diagnosed Report'!A35,'SERVICE ENTRY'!$AJ$4:$AJ$1200,"Biopsy",'SERVICE ENTRY'!$F$4:$F$1200,"Mexican/Mexican-American/Chicano")+COUNTIFS('SERVICE ENTRY'!$AL$4:$AL$1200,'Breast Cancers Diagnosed Report'!A35,'SERVICE ENTRY'!$AK$4:$AK$1200,"Biopsy",'SERVICE ENTRY'!$F$4:$F$1200,"Mexican/Mexican-American/Chicano")+COUNTIFS('SERVICE ENTRY'!$AL$4:$AL$1200,'Breast Cancers Diagnosed Report'!A35,'SERVICE ENTRY'!$AJ$4:$AJ$1200,"Biopsy",'SERVICE ENTRY'!$F$4:$F$1200,"Puerto Rican")+COUNTIFS('SERVICE ENTRY'!$AL$4:$AL$1200,'Breast Cancers Diagnosed Report'!A35,'SERVICE ENTRY'!$AK$4:$AK$1200,"Biopsy",'SERVICE ENTRY'!$F$4:$F$1200,"Puerto Rican")+COUNTIFS('SERVICE ENTRY'!$AL$4:$AL$1200,'Breast Cancers Diagnosed Report'!A35,'SERVICE ENTRY'!$AJ$4:$AJ$1200,"Biopsy",'SERVICE ENTRY'!$F$4:$F$1200,"Salvadoran")+COUNTIFS('SERVICE ENTRY'!$AL$4:$AL$1200,'Breast Cancers Diagnosed Report'!A35,'SERVICE ENTRY'!$AK$4:$AK$1200,"Biopsy",'SERVICE ENTRY'!$F$4:$F$1200,"Salvadoran")+COUNTIFS('SERVICE ENTRY'!$AL$4:$AL$1200,'Breast Cancers Diagnosed Report'!A35,'SERVICE ENTRY'!$AJ$4:$AJ$1200,"Biopsy",'SERVICE ENTRY'!$F$4:$F$1200,"Other Hispanic/Latino/Spanish origin")+COUNTIFS('SERVICE ENTRY'!$AL$4:$AL$1200,'Breast Cancers Diagnosed Report'!A35,'SERVICE ENTRY'!$AK$4:$AK$1200,"Biopsy",'SERVICE ENTRY'!$F$4:$F$1200,"Other Hispanic/Latino/Spanish origin")</f>
        <v>0</v>
      </c>
      <c r="K35" s="42">
        <f>+COUNTIFS('SERVICE ENTRY'!$AL$4:$AL$1200,'Breast Cancers Diagnosed Report'!A35,'SERVICE ENTRY'!$AJ$4:$AJ$1200,"Biopsy",'SERVICE ENTRY'!$F$4:$F$1200,"Not of Hispanic/Latino/Spanish origin")+COUNTIFS('SERVICE ENTRY'!$AL$4:$AL$1200,'Breast Cancers Diagnosed Report'!A35,'SERVICE ENTRY'!$AK$4:$AK$1200,"Biopsy",'SERVICE ENTRY'!$F$4:$F$1200,"Not of Hispanic/Latino/Spanish origin")</f>
        <v>0</v>
      </c>
      <c r="L35" s="42">
        <f>+COUNTIFS('SERVICE ENTRY'!$AL$4:$AL$1200,'Breast Cancers Diagnosed Report'!A35,'SERVICE ENTRY'!$AJ$4:$AJ$1200,"Biopsy",'SERVICE ENTRY'!$F$4:$F$1200,"Unknown or Other")+COUNTIFS('SERVICE ENTRY'!$AL$4:$AL$1200,'Breast Cancers Diagnosed Report'!A35,'SERVICE ENTRY'!$AK$4:$AK$1200,"Biopsy",'SERVICE ENTRY'!$F$4:$F$1200,"Unknown or Other")</f>
        <v>0</v>
      </c>
    </row>
    <row r="36" spans="1:12" ht="15.75" thickBot="1" x14ac:dyDescent="0.3">
      <c r="A36" s="365" t="s">
        <v>322</v>
      </c>
      <c r="B36" s="367">
        <f t="shared" ref="B36:L36" si="2">SUM(B30:B35)</f>
        <v>0</v>
      </c>
      <c r="C36" s="198">
        <f t="shared" si="2"/>
        <v>0</v>
      </c>
      <c r="D36" s="195">
        <f t="shared" si="2"/>
        <v>0</v>
      </c>
      <c r="E36" s="195">
        <f t="shared" si="2"/>
        <v>0</v>
      </c>
      <c r="F36" s="195">
        <f t="shared" si="2"/>
        <v>0</v>
      </c>
      <c r="G36" s="195">
        <f t="shared" si="2"/>
        <v>0</v>
      </c>
      <c r="H36" s="195">
        <f t="shared" si="2"/>
        <v>0</v>
      </c>
      <c r="I36" s="197">
        <f t="shared" si="2"/>
        <v>0</v>
      </c>
      <c r="J36" s="198">
        <f t="shared" si="2"/>
        <v>0</v>
      </c>
      <c r="K36" s="195">
        <f t="shared" si="2"/>
        <v>0</v>
      </c>
      <c r="L36" s="196">
        <f t="shared" si="2"/>
        <v>0</v>
      </c>
    </row>
    <row r="37" spans="1:12" ht="25.5" customHeight="1" thickBot="1" x14ac:dyDescent="0.3">
      <c r="A37" s="366"/>
      <c r="B37" s="368"/>
      <c r="C37" s="369">
        <f>SUM(C36:I36)</f>
        <v>0</v>
      </c>
      <c r="D37" s="370"/>
      <c r="E37" s="370"/>
      <c r="F37" s="370"/>
      <c r="G37" s="370"/>
      <c r="H37" s="370"/>
      <c r="I37" s="370"/>
      <c r="J37" s="369">
        <f>SUM(J36:L36)</f>
        <v>0</v>
      </c>
      <c r="K37" s="370"/>
      <c r="L37" s="371"/>
    </row>
    <row r="38" spans="1:12" ht="12" customHeight="1" x14ac:dyDescent="0.25">
      <c r="A38" s="95"/>
      <c r="B38" s="56"/>
      <c r="C38" s="56"/>
      <c r="D38" s="58"/>
    </row>
    <row r="39" spans="1:12" ht="12" customHeight="1" x14ac:dyDescent="0.25">
      <c r="A39" s="95"/>
      <c r="B39" s="56"/>
      <c r="C39" s="56"/>
      <c r="D39" s="58"/>
    </row>
    <row r="40" spans="1:12" ht="72.75" customHeight="1" x14ac:dyDescent="0.2">
      <c r="A40" s="163" t="s">
        <v>380</v>
      </c>
      <c r="B40" s="164" t="s">
        <v>363</v>
      </c>
      <c r="C40" s="177" t="s">
        <v>250</v>
      </c>
      <c r="D40" s="177" t="s">
        <v>251</v>
      </c>
      <c r="E40" s="177" t="s">
        <v>246</v>
      </c>
      <c r="F40" s="177" t="s">
        <v>373</v>
      </c>
      <c r="G40" s="177" t="s">
        <v>252</v>
      </c>
      <c r="H40" s="177" t="s">
        <v>248</v>
      </c>
      <c r="I40" s="188" t="s">
        <v>388</v>
      </c>
      <c r="J40" s="165" t="s">
        <v>247</v>
      </c>
      <c r="K40" s="163" t="s">
        <v>324</v>
      </c>
      <c r="L40" s="163" t="s">
        <v>388</v>
      </c>
    </row>
    <row r="41" spans="1:12" ht="15" x14ac:dyDescent="0.25">
      <c r="A41" s="68" t="s">
        <v>173</v>
      </c>
      <c r="B41" s="106">
        <f>COUNTIF('SERVICE ENTRY'!$BD$4:$BD$1200,'Breast Cancers Diagnosed Report'!A41)</f>
        <v>0</v>
      </c>
      <c r="C41" s="92">
        <f>COUNTIFS('SERVICE ENTRY'!$BD$4:$BD$1200,'Breast Cancers Diagnosed Report'!A41,'SERVICE ENTRY'!$G4:$G1200,"American Indian or Alaska Native")</f>
        <v>0</v>
      </c>
      <c r="D41" s="42">
        <f>COUNTIFS('SERVICE ENTRY'!$BD$4:$BD$1200,'Breast Cancers Diagnosed Report'!A41,'SERVICE ENTRY'!$G4:$G1200,"Asian")</f>
        <v>0</v>
      </c>
      <c r="E41" s="42">
        <f>COUNTIFS('SERVICE ENTRY'!$BD$4:$BD$1200,'Breast Cancers Diagnosed Report'!A41,'SERVICE ENTRY'!$G4:$G1200,"Black/African-American")</f>
        <v>0</v>
      </c>
      <c r="F41" s="42">
        <f>COUNTIFS('SERVICE ENTRY'!$BD$4:$BD$1200,'Breast Cancers Diagnosed Report'!A41,'SERVICE ENTRY'!$G4:$G1200,"Middle Eastern or North African")</f>
        <v>0</v>
      </c>
      <c r="G41" s="100">
        <f>COUNTIFS('SERVICE ENTRY'!$BD$4:$BD$1200,'Breast Cancers Diagnosed Report'!A41,'SERVICE ENTRY'!$G4:$G1200,"Native Hawaiian or Pacific Islander")</f>
        <v>0</v>
      </c>
      <c r="H41" s="100">
        <f>COUNTIFS('SERVICE ENTRY'!$BD$4:$BD$1200,'Breast Cancers Diagnosed Report'!A41,'SERVICE ENTRY'!$G4:$G1200,"White")</f>
        <v>0</v>
      </c>
      <c r="I41" s="106">
        <f>COUNTIFS('SERVICE ENTRY'!$BD$4:$BD$1200,'Breast Cancers Diagnosed Report'!A41,'SERVICE ENTRY'!$G4:$G1200,"Unknown or Other")</f>
        <v>0</v>
      </c>
      <c r="J41" s="102">
        <f>COUNTIFS('SERVICE ENTRY'!$BD$4:$BD$1200,'Breast Cancers Diagnosed Report'!A41,'SERVICE ENTRY'!$F4:$F1200,"Colombian")+COUNTIFS('SERVICE ENTRY'!$BD$4:$BD$1200,'Breast Cancers Diagnosed Report'!A41,'SERVICE ENTRY'!$F4:$F1200,"Cuban")+COUNTIFS('SERVICE ENTRY'!$BD$4:$BD$1200,'Breast Cancers Diagnosed Report'!A41,'SERVICE ENTRY'!$F4:$F1200,"Dominican")+COUNTIFS('SERVICE ENTRY'!$BD$4:$BD$1200,'Breast Cancers Diagnosed Report'!A41,'SERVICE ENTRY'!$F4:$F1200,"Mexican/Mexican-American/Chicano")+COUNTIFS('SERVICE ENTRY'!$BD$4:$BD$1200,'Breast Cancers Diagnosed Report'!A41,'SERVICE ENTRY'!$F4:$F1200,"Puerto Rican")+COUNTIFS('SERVICE ENTRY'!$BD$4:$BD$1200,'Breast Cancers Diagnosed Report'!A41,'SERVICE ENTRY'!$F4:$F1200,"Salvadoran")+COUNTIFS('SERVICE ENTRY'!$BD$4:$BD$1200,'Breast Cancers Diagnosed Report'!A41,'SERVICE ENTRY'!$F4:$F1200,"Other Hispanic/Latino/Spanish origin")</f>
        <v>0</v>
      </c>
      <c r="K41" s="42">
        <f>+COUNTIFS('SERVICE ENTRY'!$BD$4:$BD$1200,'Breast Cancers Diagnosed Report'!A41,'SERVICE ENTRY'!$F4:$F1200,"Not of Hispanic/Latino/Spanish origin")</f>
        <v>0</v>
      </c>
      <c r="L41" s="42">
        <f>+COUNTIFS('SERVICE ENTRY'!$BD$4:$BD$1200,'Breast Cancers Diagnosed Report'!A41,'SERVICE ENTRY'!$F4:$F1200,"Unknown or Other")</f>
        <v>0</v>
      </c>
    </row>
    <row r="42" spans="1:12" ht="15" x14ac:dyDescent="0.25">
      <c r="A42" s="68" t="s">
        <v>174</v>
      </c>
      <c r="B42" s="106">
        <f>COUNTIF('SERVICE ENTRY'!$BD$4:$BD$1200,'Breast Cancers Diagnosed Report'!A42)</f>
        <v>0</v>
      </c>
      <c r="C42" s="92">
        <f>COUNTIFS('SERVICE ENTRY'!$BD$4:$BD$1200,'Breast Cancers Diagnosed Report'!A42,'SERVICE ENTRY'!$G5:$G1201,"American Indian or Alaska Native")</f>
        <v>0</v>
      </c>
      <c r="D42" s="42">
        <f>COUNTIFS('SERVICE ENTRY'!$BD$4:$BD$1200,'Breast Cancers Diagnosed Report'!A42,'SERVICE ENTRY'!$G5:$G1201,"Asian")</f>
        <v>0</v>
      </c>
      <c r="E42" s="42">
        <f>COUNTIFS('SERVICE ENTRY'!$BD$4:$BD$1200,'Breast Cancers Diagnosed Report'!A42,'SERVICE ENTRY'!$G5:$G1201,"Black/African-American")</f>
        <v>0</v>
      </c>
      <c r="F42" s="42">
        <f>COUNTIFS('SERVICE ENTRY'!$BD$4:$BD$1200,'Breast Cancers Diagnosed Report'!A42,'SERVICE ENTRY'!$G5:$G1201,"Middle Eastern or North African")</f>
        <v>0</v>
      </c>
      <c r="G42" s="100">
        <f>COUNTIFS('SERVICE ENTRY'!$BD$4:$BD$1200,'Breast Cancers Diagnosed Report'!A42,'SERVICE ENTRY'!$G5:$G1201,"Native Hawaiian or Pacific Islander")</f>
        <v>0</v>
      </c>
      <c r="H42" s="100">
        <f>COUNTIFS('SERVICE ENTRY'!$BD$4:$BD$1200,'Breast Cancers Diagnosed Report'!A42,'SERVICE ENTRY'!$G5:$G1201,"White")</f>
        <v>0</v>
      </c>
      <c r="I42" s="106">
        <f>COUNTIFS('SERVICE ENTRY'!$BD$4:$BD$1200,'Breast Cancers Diagnosed Report'!A42,'SERVICE ENTRY'!$G5:$G1201,"Unknown or Other")</f>
        <v>0</v>
      </c>
      <c r="J42" s="102">
        <f>COUNTIFS('SERVICE ENTRY'!$BD$4:$BD$1200,'Breast Cancers Diagnosed Report'!A42,'SERVICE ENTRY'!$F5:$F1201,"Colombian")+COUNTIFS('SERVICE ENTRY'!$BD$4:$BD$1200,'Breast Cancers Diagnosed Report'!A42,'SERVICE ENTRY'!$F5:$F1201,"Cuban")+COUNTIFS('SERVICE ENTRY'!$BD$4:$BD$1200,'Breast Cancers Diagnosed Report'!A42,'SERVICE ENTRY'!$F5:$F1201,"Dominican")+COUNTIFS('SERVICE ENTRY'!$BD$4:$BD$1200,'Breast Cancers Diagnosed Report'!A42,'SERVICE ENTRY'!$F5:$F1201,"Mexican/Mexican-American/Chicano")+COUNTIFS('SERVICE ENTRY'!$BD$4:$BD$1200,'Breast Cancers Diagnosed Report'!A42,'SERVICE ENTRY'!$F5:$F1201,"Puerto Rican")+COUNTIFS('SERVICE ENTRY'!$BD$4:$BD$1200,'Breast Cancers Diagnosed Report'!A42,'SERVICE ENTRY'!$F5:$F1201,"Salvadoran")+COUNTIFS('SERVICE ENTRY'!$BD$4:$BD$1200,'Breast Cancers Diagnosed Report'!A42,'SERVICE ENTRY'!$F5:$F1201,"Other Hispanic/Latino/Spanish origin")</f>
        <v>0</v>
      </c>
      <c r="K42" s="42">
        <f>+COUNTIFS('SERVICE ENTRY'!$BD$4:$BD$1200,'Breast Cancers Diagnosed Report'!A42,'SERVICE ENTRY'!$F5:$F1201,"Not of Hispanic/Latino/Spanish origin")</f>
        <v>0</v>
      </c>
      <c r="L42" s="42">
        <f>+COUNTIFS('SERVICE ENTRY'!$BD$4:$BD$1200,'Breast Cancers Diagnosed Report'!A42,'SERVICE ENTRY'!$F5:$F1201,"Unknown or Other")</f>
        <v>0</v>
      </c>
    </row>
    <row r="43" spans="1:12" ht="15" x14ac:dyDescent="0.25">
      <c r="A43" s="68" t="s">
        <v>99</v>
      </c>
      <c r="B43" s="106">
        <f>COUNTIF('SERVICE ENTRY'!$BD$4:$BD$1200,'Breast Cancers Diagnosed Report'!A43)</f>
        <v>0</v>
      </c>
      <c r="C43" s="92">
        <f>COUNTIFS('SERVICE ENTRY'!$BD$4:$BD$1200,'Breast Cancers Diagnosed Report'!A43,'SERVICE ENTRY'!$G6:$G1202,"American Indian or Alaska Native")</f>
        <v>0</v>
      </c>
      <c r="D43" s="42">
        <f>COUNTIFS('SERVICE ENTRY'!$BD$4:$BD$1200,'Breast Cancers Diagnosed Report'!A43,'SERVICE ENTRY'!$G6:$G1202,"Asian")</f>
        <v>0</v>
      </c>
      <c r="E43" s="42">
        <f>COUNTIFS('SERVICE ENTRY'!$BD$4:$BD$1200,'Breast Cancers Diagnosed Report'!A43,'SERVICE ENTRY'!$G6:$G1202,"Black/African-American")</f>
        <v>0</v>
      </c>
      <c r="F43" s="42">
        <f>COUNTIFS('SERVICE ENTRY'!$BD$4:$BD$1200,'Breast Cancers Diagnosed Report'!A43,'SERVICE ENTRY'!$G6:$G1202,"Middle Eastern or North African")</f>
        <v>0</v>
      </c>
      <c r="G43" s="100">
        <f>COUNTIFS('SERVICE ENTRY'!$BD$4:$BD$1200,'Breast Cancers Diagnosed Report'!A43,'SERVICE ENTRY'!$G6:$G1202,"Native Hawaiian or Pacific Islander")</f>
        <v>0</v>
      </c>
      <c r="H43" s="100">
        <f>COUNTIFS('SERVICE ENTRY'!$BD$4:$BD$1200,'Breast Cancers Diagnosed Report'!A43,'SERVICE ENTRY'!$G6:$G1202,"White")</f>
        <v>0</v>
      </c>
      <c r="I43" s="106">
        <f>COUNTIFS('SERVICE ENTRY'!$BD$4:$BD$1200,'Breast Cancers Diagnosed Report'!A43,'SERVICE ENTRY'!$G6:$G1202,"Unknown or Other")</f>
        <v>0</v>
      </c>
      <c r="J43" s="102">
        <f>COUNTIFS('SERVICE ENTRY'!$BD$4:$BD$1200,'Breast Cancers Diagnosed Report'!A43,'SERVICE ENTRY'!$F6:$F1202,"Colombian")+COUNTIFS('SERVICE ENTRY'!$BD$4:$BD$1200,'Breast Cancers Diagnosed Report'!A43,'SERVICE ENTRY'!$F6:$F1202,"Cuban")+COUNTIFS('SERVICE ENTRY'!$BD$4:$BD$1200,'Breast Cancers Diagnosed Report'!A43,'SERVICE ENTRY'!$F6:$F1202,"Dominican")+COUNTIFS('SERVICE ENTRY'!$BD$4:$BD$1200,'Breast Cancers Diagnosed Report'!A43,'SERVICE ENTRY'!$F6:$F1202,"Mexican/Mexican-American/Chicano")+COUNTIFS('SERVICE ENTRY'!$BD$4:$BD$1200,'Breast Cancers Diagnosed Report'!A43,'SERVICE ENTRY'!$F6:$F1202,"Puerto Rican")+COUNTIFS('SERVICE ENTRY'!$BD$4:$BD$1200,'Breast Cancers Diagnosed Report'!A43,'SERVICE ENTRY'!$F6:$F1202,"Salvadoran")+COUNTIFS('SERVICE ENTRY'!$BD$4:$BD$1200,'Breast Cancers Diagnosed Report'!A43,'SERVICE ENTRY'!$F6:$F1202,"Other Hispanic/Latino/Spanish origin")</f>
        <v>0</v>
      </c>
      <c r="K43" s="42">
        <f>+COUNTIFS('SERVICE ENTRY'!$BD$4:$BD$1200,'Breast Cancers Diagnosed Report'!A43,'SERVICE ENTRY'!$F6:$F1202,"Not of Hispanic/Latino/Spanish origin")</f>
        <v>0</v>
      </c>
      <c r="L43" s="42">
        <f>+COUNTIFS('SERVICE ENTRY'!$BD$4:$BD$1200,'Breast Cancers Diagnosed Report'!A43,'SERVICE ENTRY'!$F6:$F1202,"Unknown or Other")</f>
        <v>0</v>
      </c>
    </row>
    <row r="44" spans="1:12" ht="15" x14ac:dyDescent="0.25">
      <c r="A44" s="68" t="s">
        <v>175</v>
      </c>
      <c r="B44" s="106">
        <f>COUNTIF('SERVICE ENTRY'!$BD$4:$BD$1200,'Breast Cancers Diagnosed Report'!A44)</f>
        <v>0</v>
      </c>
      <c r="C44" s="92">
        <f>COUNTIFS('SERVICE ENTRY'!$BD$4:$BD$1200,'Breast Cancers Diagnosed Report'!A44,'SERVICE ENTRY'!$G7:$G1203,"American Indian or Alaska Native")</f>
        <v>0</v>
      </c>
      <c r="D44" s="42">
        <f>COUNTIFS('SERVICE ENTRY'!$BD$4:$BD$1200,'Breast Cancers Diagnosed Report'!A44,'SERVICE ENTRY'!$G7:$G1203,"Asian")</f>
        <v>0</v>
      </c>
      <c r="E44" s="42">
        <f>COUNTIFS('SERVICE ENTRY'!$BD$4:$BD$1200,'Breast Cancers Diagnosed Report'!A44,'SERVICE ENTRY'!$G7:$G1203,"Black/African-American")</f>
        <v>0</v>
      </c>
      <c r="F44" s="42">
        <f>COUNTIFS('SERVICE ENTRY'!$BD$4:$BD$1200,'Breast Cancers Diagnosed Report'!A44,'SERVICE ENTRY'!$G7:$G1203,"Middle Eastern or North African")</f>
        <v>0</v>
      </c>
      <c r="G44" s="100">
        <f>COUNTIFS('SERVICE ENTRY'!$BD$4:$BD$1200,'Breast Cancers Diagnosed Report'!A44,'SERVICE ENTRY'!$G7:$G1203,"Native Hawaiian or Pacific Islander")</f>
        <v>0</v>
      </c>
      <c r="H44" s="100">
        <f>COUNTIFS('SERVICE ENTRY'!$BD$4:$BD$1200,'Breast Cancers Diagnosed Report'!A44,'SERVICE ENTRY'!$G7:$G1203,"White")</f>
        <v>0</v>
      </c>
      <c r="I44" s="106">
        <f>COUNTIFS('SERVICE ENTRY'!$BD$4:$BD$1200,'Breast Cancers Diagnosed Report'!A44,'SERVICE ENTRY'!$G7:$G1203,"Unknown or Other")</f>
        <v>0</v>
      </c>
      <c r="J44" s="102">
        <f>COUNTIFS('SERVICE ENTRY'!$BD$4:$BD$1200,'Breast Cancers Diagnosed Report'!A44,'SERVICE ENTRY'!$F7:$F1203,"Colombian")+COUNTIFS('SERVICE ENTRY'!$BD$4:$BD$1200,'Breast Cancers Diagnosed Report'!A44,'SERVICE ENTRY'!$F7:$F1203,"Cuban")+COUNTIFS('SERVICE ENTRY'!$BD$4:$BD$1200,'Breast Cancers Diagnosed Report'!A44,'SERVICE ENTRY'!$F7:$F1203,"Dominican")+COUNTIFS('SERVICE ENTRY'!$BD$4:$BD$1200,'Breast Cancers Diagnosed Report'!A44,'SERVICE ENTRY'!$F7:$F1203,"Mexican/Mexican-American/Chicano")+COUNTIFS('SERVICE ENTRY'!$BD$4:$BD$1200,'Breast Cancers Diagnosed Report'!A44,'SERVICE ENTRY'!$F7:$F1203,"Puerto Rican")+COUNTIFS('SERVICE ENTRY'!$BD$4:$BD$1200,'Breast Cancers Diagnosed Report'!A44,'SERVICE ENTRY'!$F7:$F1203,"Salvadoran")+COUNTIFS('SERVICE ENTRY'!$BD$4:$BD$1200,'Breast Cancers Diagnosed Report'!A44,'SERVICE ENTRY'!$F7:$F1203,"Other Hispanic/Latino/Spanish origin")</f>
        <v>0</v>
      </c>
      <c r="K44" s="42">
        <f>+COUNTIFS('SERVICE ENTRY'!$BD$4:$BD$1200,'Breast Cancers Diagnosed Report'!A44,'SERVICE ENTRY'!$F7:$F1203,"Not of Hispanic/Latino/Spanish origin")</f>
        <v>0</v>
      </c>
      <c r="L44" s="42">
        <f>+COUNTIFS('SERVICE ENTRY'!$BD$4:$BD$1200,'Breast Cancers Diagnosed Report'!A44,'SERVICE ENTRY'!$F7:$F1203,"Unknown or Other")</f>
        <v>0</v>
      </c>
    </row>
    <row r="45" spans="1:12" ht="15" x14ac:dyDescent="0.25">
      <c r="A45" s="68" t="s">
        <v>176</v>
      </c>
      <c r="B45" s="106">
        <f>COUNTIF('SERVICE ENTRY'!$BD$4:$BD$1200,'Breast Cancers Diagnosed Report'!A45)</f>
        <v>0</v>
      </c>
      <c r="C45" s="92">
        <f>COUNTIFS('SERVICE ENTRY'!$BD$4:$BD$1200,'Breast Cancers Diagnosed Report'!A45,'SERVICE ENTRY'!$G8:$G1204,"American Indian or Alaska Native")</f>
        <v>0</v>
      </c>
      <c r="D45" s="42">
        <f>COUNTIFS('SERVICE ENTRY'!$BD$4:$BD$1200,'Breast Cancers Diagnosed Report'!A45,'SERVICE ENTRY'!$G8:$G1204,"Asian")</f>
        <v>0</v>
      </c>
      <c r="E45" s="42">
        <f>COUNTIFS('SERVICE ENTRY'!$BD$4:$BD$1200,'Breast Cancers Diagnosed Report'!A45,'SERVICE ENTRY'!$G8:$G1204,"Black/African-American")</f>
        <v>0</v>
      </c>
      <c r="F45" s="42">
        <f>COUNTIFS('SERVICE ENTRY'!$BD$4:$BD$1200,'Breast Cancers Diagnosed Report'!A45,'SERVICE ENTRY'!$G8:$G1204,"Middle Eastern or North African")</f>
        <v>0</v>
      </c>
      <c r="G45" s="100">
        <f>COUNTIFS('SERVICE ENTRY'!$BD$4:$BD$1200,'Breast Cancers Diagnosed Report'!A45,'SERVICE ENTRY'!$G8:$G1204,"Native Hawaiian or Pacific Islander")</f>
        <v>0</v>
      </c>
      <c r="H45" s="100">
        <f>COUNTIFS('SERVICE ENTRY'!$BD$4:$BD$1200,'Breast Cancers Diagnosed Report'!A45,'SERVICE ENTRY'!$G8:$G1204,"White")</f>
        <v>0</v>
      </c>
      <c r="I45" s="106">
        <f>COUNTIFS('SERVICE ENTRY'!$BD$4:$BD$1200,'Breast Cancers Diagnosed Report'!A45,'SERVICE ENTRY'!$G8:$G1204,"Unknown or Other")</f>
        <v>0</v>
      </c>
      <c r="J45" s="102">
        <f>COUNTIFS('SERVICE ENTRY'!$BD$4:$BD$1200,'Breast Cancers Diagnosed Report'!A45,'SERVICE ENTRY'!$F8:$F1204,"Colombian")+COUNTIFS('SERVICE ENTRY'!$BD$4:$BD$1200,'Breast Cancers Diagnosed Report'!A45,'SERVICE ENTRY'!$F8:$F1204,"Cuban")+COUNTIFS('SERVICE ENTRY'!$BD$4:$BD$1200,'Breast Cancers Diagnosed Report'!A45,'SERVICE ENTRY'!$F8:$F1204,"Dominican")+COUNTIFS('SERVICE ENTRY'!$BD$4:$BD$1200,'Breast Cancers Diagnosed Report'!A45,'SERVICE ENTRY'!$F8:$F1204,"Mexican/Mexican-American/Chicano")+COUNTIFS('SERVICE ENTRY'!$BD$4:$BD$1200,'Breast Cancers Diagnosed Report'!A45,'SERVICE ENTRY'!$F8:$F1204,"Puerto Rican")+COUNTIFS('SERVICE ENTRY'!$BD$4:$BD$1200,'Breast Cancers Diagnosed Report'!A45,'SERVICE ENTRY'!$F8:$F1204,"Salvadoran")+COUNTIFS('SERVICE ENTRY'!$BD$4:$BD$1200,'Breast Cancers Diagnosed Report'!A45,'SERVICE ENTRY'!$F8:$F1204,"Other Hispanic/Latino/Spanish origin")</f>
        <v>0</v>
      </c>
      <c r="K45" s="42">
        <f>+COUNTIFS('SERVICE ENTRY'!$BD$4:$BD$1200,'Breast Cancers Diagnosed Report'!A45,'SERVICE ENTRY'!$F8:$F1204,"Not of Hispanic/Latino/Spanish origin")</f>
        <v>0</v>
      </c>
      <c r="L45" s="42">
        <f>+COUNTIFS('SERVICE ENTRY'!$BD$4:$BD$1200,'Breast Cancers Diagnosed Report'!A45,'SERVICE ENTRY'!$F8:$F1204,"Unknown or Other")</f>
        <v>0</v>
      </c>
    </row>
    <row r="46" spans="1:12" ht="15.75" thickBot="1" x14ac:dyDescent="0.3">
      <c r="A46" s="113" t="s">
        <v>236</v>
      </c>
      <c r="B46" s="106">
        <f>COUNTIF('SERVICE ENTRY'!$BD$4:$BD$1200,'Breast Cancers Diagnosed Report'!A46)</f>
        <v>0</v>
      </c>
      <c r="C46" s="92">
        <f>COUNTIFS('SERVICE ENTRY'!$BD$4:$BD$1200,'Breast Cancers Diagnosed Report'!A46,'SERVICE ENTRY'!$G9:$G1205,"American Indian or Alaska Native")</f>
        <v>0</v>
      </c>
      <c r="D46" s="42">
        <f>COUNTIFS('SERVICE ENTRY'!$BD$4:$BD$1200,'Breast Cancers Diagnosed Report'!A46,'SERVICE ENTRY'!$G9:$G1205,"Asian")</f>
        <v>0</v>
      </c>
      <c r="E46" s="42">
        <f>COUNTIFS('SERVICE ENTRY'!$BD$4:$BD$1200,'Breast Cancers Diagnosed Report'!A46,'SERVICE ENTRY'!$G9:$G1205,"Black/African-American")</f>
        <v>0</v>
      </c>
      <c r="F46" s="42">
        <f>COUNTIFS('SERVICE ENTRY'!$BD$4:$BD$1200,'Breast Cancers Diagnosed Report'!A46,'SERVICE ENTRY'!$G9:$G1205,"Middle Eastern or North African")</f>
        <v>0</v>
      </c>
      <c r="G46" s="100">
        <f>COUNTIFS('SERVICE ENTRY'!$BD$4:$BD$1200,'Breast Cancers Diagnosed Report'!A46,'SERVICE ENTRY'!$G9:$G1205,"Native Hawaiian or Pacific Islander")</f>
        <v>0</v>
      </c>
      <c r="H46" s="100">
        <f>COUNTIFS('SERVICE ENTRY'!$BD$4:$BD$1200,'Breast Cancers Diagnosed Report'!A46,'SERVICE ENTRY'!$G9:$G1205,"White")</f>
        <v>0</v>
      </c>
      <c r="I46" s="106">
        <f>COUNTIFS('SERVICE ENTRY'!$BD$4:$BD$1200,'Breast Cancers Diagnosed Report'!A46,'SERVICE ENTRY'!$G9:$G1205,"Unknown or Other")</f>
        <v>0</v>
      </c>
      <c r="J46" s="102">
        <f>COUNTIFS('SERVICE ENTRY'!$BD$4:$BD$1200,'Breast Cancers Diagnosed Report'!A46,'SERVICE ENTRY'!$F9:$F1205,"Colombian")+COUNTIFS('SERVICE ENTRY'!$BD$4:$BD$1200,'Breast Cancers Diagnosed Report'!A46,'SERVICE ENTRY'!$F9:$F1205,"Cuban")+COUNTIFS('SERVICE ENTRY'!$BD$4:$BD$1200,'Breast Cancers Diagnosed Report'!A46,'SERVICE ENTRY'!$F9:$F1205,"Dominican")+COUNTIFS('SERVICE ENTRY'!$BD$4:$BD$1200,'Breast Cancers Diagnosed Report'!A46,'SERVICE ENTRY'!$F9:$F1205,"Mexican/Mexican-American/Chicano")+COUNTIFS('SERVICE ENTRY'!$BD$4:$BD$1200,'Breast Cancers Diagnosed Report'!A46,'SERVICE ENTRY'!$F9:$F1205,"Puerto Rican")+COUNTIFS('SERVICE ENTRY'!$BD$4:$BD$1200,'Breast Cancers Diagnosed Report'!A46,'SERVICE ENTRY'!$F9:$F1205,"Salvadoran")+COUNTIFS('SERVICE ENTRY'!$BD$4:$BD$1200,'Breast Cancers Diagnosed Report'!A46,'SERVICE ENTRY'!$F9:$F1205,"Other Hispanic/Latino/Spanish origin")</f>
        <v>0</v>
      </c>
      <c r="K46" s="42">
        <f>+COUNTIFS('SERVICE ENTRY'!$BD$4:$BD$1200,'Breast Cancers Diagnosed Report'!A46,'SERVICE ENTRY'!$F9:$F1205,"Not of Hispanic/Latino/Spanish origin")</f>
        <v>0</v>
      </c>
      <c r="L46" s="42">
        <f>+COUNTIFS('SERVICE ENTRY'!$BD$4:$BD$1200,'Breast Cancers Diagnosed Report'!A46,'SERVICE ENTRY'!$F9:$F1205,"Unknown or Other")</f>
        <v>0</v>
      </c>
    </row>
    <row r="47" spans="1:12" ht="15.75" thickBot="1" x14ac:dyDescent="0.3">
      <c r="A47" s="365" t="s">
        <v>322</v>
      </c>
      <c r="B47" s="367">
        <f t="shared" ref="B47:L47" si="3">SUM(B41:B46)</f>
        <v>0</v>
      </c>
      <c r="C47" s="198">
        <f t="shared" si="3"/>
        <v>0</v>
      </c>
      <c r="D47" s="195">
        <f t="shared" si="3"/>
        <v>0</v>
      </c>
      <c r="E47" s="195">
        <f t="shared" si="3"/>
        <v>0</v>
      </c>
      <c r="F47" s="195">
        <f t="shared" si="3"/>
        <v>0</v>
      </c>
      <c r="G47" s="195">
        <f t="shared" si="3"/>
        <v>0</v>
      </c>
      <c r="H47" s="195">
        <f t="shared" si="3"/>
        <v>0</v>
      </c>
      <c r="I47" s="197">
        <f t="shared" si="3"/>
        <v>0</v>
      </c>
      <c r="J47" s="198">
        <f t="shared" si="3"/>
        <v>0</v>
      </c>
      <c r="K47" s="195">
        <f t="shared" si="3"/>
        <v>0</v>
      </c>
      <c r="L47" s="196">
        <f t="shared" si="3"/>
        <v>0</v>
      </c>
    </row>
    <row r="48" spans="1:12" ht="28.5" customHeight="1" thickBot="1" x14ac:dyDescent="0.3">
      <c r="A48" s="366"/>
      <c r="B48" s="368"/>
      <c r="C48" s="369">
        <f>SUM(C47:I47)</f>
        <v>0</v>
      </c>
      <c r="D48" s="370"/>
      <c r="E48" s="370"/>
      <c r="F48" s="370"/>
      <c r="G48" s="370"/>
      <c r="H48" s="370"/>
      <c r="I48" s="370"/>
      <c r="J48" s="369">
        <f>SUM(J47:L47)</f>
        <v>0</v>
      </c>
      <c r="K48" s="370"/>
      <c r="L48" s="371"/>
    </row>
    <row r="51" spans="1:12" ht="75" customHeight="1" x14ac:dyDescent="0.2">
      <c r="A51" s="159" t="s">
        <v>381</v>
      </c>
      <c r="B51" s="160" t="s">
        <v>364</v>
      </c>
      <c r="C51" s="178" t="s">
        <v>250</v>
      </c>
      <c r="D51" s="178" t="s">
        <v>251</v>
      </c>
      <c r="E51" s="178" t="s">
        <v>246</v>
      </c>
      <c r="F51" s="178" t="s">
        <v>373</v>
      </c>
      <c r="G51" s="178" t="s">
        <v>252</v>
      </c>
      <c r="H51" s="178" t="s">
        <v>248</v>
      </c>
      <c r="I51" s="189" t="s">
        <v>388</v>
      </c>
      <c r="J51" s="162" t="s">
        <v>247</v>
      </c>
      <c r="K51" s="161" t="s">
        <v>324</v>
      </c>
      <c r="L51" s="161" t="s">
        <v>388</v>
      </c>
    </row>
    <row r="52" spans="1:12" ht="15" x14ac:dyDescent="0.25">
      <c r="A52" s="68" t="s">
        <v>173</v>
      </c>
      <c r="B52" s="106">
        <f>COUNTIF('SERVICE ENTRY'!$BG$4:$BG$1200, 'Breast Cancers Diagnosed Report'!A52)</f>
        <v>0</v>
      </c>
      <c r="C52" s="92">
        <f>COUNTIFS('SERVICE ENTRY'!$BG$4:$BG$1200, 'Breast Cancers Diagnosed Report'!A52,'SERVICE ENTRY'!$G$4:$G$1200,"American Indian or Alaska Native")</f>
        <v>0</v>
      </c>
      <c r="D52" s="42">
        <f>COUNTIFS('SERVICE ENTRY'!$BG$4:$BG$1200, 'Breast Cancers Diagnosed Report'!A52,'SERVICE ENTRY'!$G$4:$G$1200,"Asian")</f>
        <v>0</v>
      </c>
      <c r="E52" s="42">
        <f>COUNTIFS('SERVICE ENTRY'!$BG$4:$BG$1200, 'Breast Cancers Diagnosed Report'!A52,'SERVICE ENTRY'!$G$4:$G$1200,"Black/African-American")</f>
        <v>0</v>
      </c>
      <c r="F52" s="42">
        <f>COUNTIFS('SERVICE ENTRY'!$BG$4:$BG$1200, 'Breast Cancers Diagnosed Report'!A52,'SERVICE ENTRY'!$G$4:$G$1200,"Middle Eastern or North African")</f>
        <v>0</v>
      </c>
      <c r="G52" s="100">
        <f>COUNTIFS('SERVICE ENTRY'!$BG$4:$BG$1200, 'Breast Cancers Diagnosed Report'!A52,'SERVICE ENTRY'!$G$4:$G$1200,"Native Hawaiian or Pacific Islander")</f>
        <v>0</v>
      </c>
      <c r="H52" s="100">
        <f>COUNTIFS('SERVICE ENTRY'!$BG$4:$BG$1200, 'Breast Cancers Diagnosed Report'!A52,'SERVICE ENTRY'!$G$4:$G$1200,"White")</f>
        <v>0</v>
      </c>
      <c r="I52" s="106">
        <f>COUNTIFS('SERVICE ENTRY'!$BG$4:$BG$1200, 'Breast Cancers Diagnosed Report'!A52,'SERVICE ENTRY'!$G$4:$G$1200,"Unknown or Other")</f>
        <v>0</v>
      </c>
      <c r="J52" s="102">
        <f>COUNTIFS('SERVICE ENTRY'!$BG$4:$BG$1200, 'Breast Cancers Diagnosed Report'!A52,'SERVICE ENTRY'!$F$4:$F$1200,"Colombian")+COUNTIFS('SERVICE ENTRY'!$BG$4:$BG$1200, 'Breast Cancers Diagnosed Report'!A52,'SERVICE ENTRY'!$F$4:$F$1200,"Cuban")+COUNTIFS('SERVICE ENTRY'!$BG$4:$BG$1200, 'Breast Cancers Diagnosed Report'!A52,'SERVICE ENTRY'!$F$4:$F$1200,"Dominican")+COUNTIFS('SERVICE ENTRY'!$BG$4:$BG$1200, 'Breast Cancers Diagnosed Report'!A52,'SERVICE ENTRY'!$F$4:$F$1200,"Mexican/Mexican-American/Chicano")+COUNTIFS('SERVICE ENTRY'!$BG$4:$BG$1200, 'Breast Cancers Diagnosed Report'!A52,'SERVICE ENTRY'!$F$4:$F$1200,"Puerto Rican")+COUNTIFS('SERVICE ENTRY'!$BG$4:$BG$1200, 'Breast Cancers Diagnosed Report'!A52,'SERVICE ENTRY'!$F$4:$F$1200,"Salvadoran")+COUNTIFS('SERVICE ENTRY'!$BG$4:$BG$1200, 'Breast Cancers Diagnosed Report'!A52,'SERVICE ENTRY'!$F$4:$F$1200,"Other Hispanic/Latino/Spanish origin")</f>
        <v>0</v>
      </c>
      <c r="K52" s="42">
        <f>COUNTIFS('SERVICE ENTRY'!$BG$4:$BG$1200, 'Breast Cancers Diagnosed Report'!A52,'SERVICE ENTRY'!$F$4:$F$1200,"Not of Hispanic/Latino/Spanish origin")</f>
        <v>0</v>
      </c>
      <c r="L52" s="42">
        <f>+COUNTIFS('SERVICE ENTRY'!$BG$4:$BG$1200, 'Breast Cancers Diagnosed Report'!A52,'SERVICE ENTRY'!$F$4:$F$1200,"Unknown or Other")</f>
        <v>0</v>
      </c>
    </row>
    <row r="53" spans="1:12" ht="15" x14ac:dyDescent="0.25">
      <c r="A53" s="68" t="s">
        <v>174</v>
      </c>
      <c r="B53" s="106">
        <f>COUNTIF('SERVICE ENTRY'!$BG$4:$BG$1200, 'Breast Cancers Diagnosed Report'!A53)</f>
        <v>0</v>
      </c>
      <c r="C53" s="92">
        <f>COUNTIFS('SERVICE ENTRY'!$BG$4:$BG$1200, 'Breast Cancers Diagnosed Report'!A53,'SERVICE ENTRY'!$G$4:$G$1200,"American Indian or Alaska Native")</f>
        <v>0</v>
      </c>
      <c r="D53" s="42">
        <f>COUNTIFS('SERVICE ENTRY'!$BG$4:$BG$1200, 'Breast Cancers Diagnosed Report'!A53,'SERVICE ENTRY'!$G$4:$G$1200,"Asian")</f>
        <v>0</v>
      </c>
      <c r="E53" s="42">
        <f>COUNTIFS('SERVICE ENTRY'!$BG$4:$BG$1200, 'Breast Cancers Diagnosed Report'!A53,'SERVICE ENTRY'!$G$4:$G$1200,"Black/African-American")</f>
        <v>0</v>
      </c>
      <c r="F53" s="42">
        <f>COUNTIFS('SERVICE ENTRY'!$BG$4:$BG$1200, 'Breast Cancers Diagnosed Report'!A53,'SERVICE ENTRY'!$G$4:$G$1200,"Middle Eastern or North African")</f>
        <v>0</v>
      </c>
      <c r="G53" s="100">
        <f>COUNTIFS('SERVICE ENTRY'!$BG$4:$BG$1200, 'Breast Cancers Diagnosed Report'!A53,'SERVICE ENTRY'!$G$4:$G$1200,"Native Hawaiian or Pacific Islander")</f>
        <v>0</v>
      </c>
      <c r="H53" s="100">
        <f>COUNTIFS('SERVICE ENTRY'!$BG$4:$BG$1200, 'Breast Cancers Diagnosed Report'!A53,'SERVICE ENTRY'!$G$4:$G$1200,"White")</f>
        <v>0</v>
      </c>
      <c r="I53" s="106">
        <f>COUNTIFS('SERVICE ENTRY'!$BG$4:$BG$1200, 'Breast Cancers Diagnosed Report'!A53,'SERVICE ENTRY'!$G$4:$G$1200,"Unknown or Other")</f>
        <v>0</v>
      </c>
      <c r="J53" s="102">
        <f>COUNTIFS('SERVICE ENTRY'!$BG$4:$BG$1200, 'Breast Cancers Diagnosed Report'!A53,'SERVICE ENTRY'!$F$4:$F$1200,"Colombian")+COUNTIFS('SERVICE ENTRY'!$BG$4:$BG$1200, 'Breast Cancers Diagnosed Report'!A53,'SERVICE ENTRY'!$F$4:$F$1200,"Cuban")+COUNTIFS('SERVICE ENTRY'!$BG$4:$BG$1200, 'Breast Cancers Diagnosed Report'!A53,'SERVICE ENTRY'!$F$4:$F$1200,"Dominican")+COUNTIFS('SERVICE ENTRY'!$BG$4:$BG$1200, 'Breast Cancers Diagnosed Report'!A53,'SERVICE ENTRY'!$F$4:$F$1200,"Mexican/Mexican-American/Chicano")+COUNTIFS('SERVICE ENTRY'!$BG$4:$BG$1200, 'Breast Cancers Diagnosed Report'!A53,'SERVICE ENTRY'!$F$4:$F$1200,"Puerto Rican")+COUNTIFS('SERVICE ENTRY'!$BG$4:$BG$1200, 'Breast Cancers Diagnosed Report'!A53,'SERVICE ENTRY'!$F$4:$F$1200,"Salvadoran")+COUNTIFS('SERVICE ENTRY'!$BG$4:$BG$1200, 'Breast Cancers Diagnosed Report'!A53,'SERVICE ENTRY'!$F$4:$F$1200,"Other Hispanic/Latino/Spanish origin")</f>
        <v>0</v>
      </c>
      <c r="K53" s="42">
        <f>COUNTIFS('SERVICE ENTRY'!$BG$4:$BG$1200, 'Breast Cancers Diagnosed Report'!A53,'SERVICE ENTRY'!$F$4:$F$1200,"Not of Hispanic/Latino/Spanish origin")</f>
        <v>0</v>
      </c>
      <c r="L53" s="42">
        <f>+COUNTIFS('SERVICE ENTRY'!$BG$4:$BG$1200, 'Breast Cancers Diagnosed Report'!A53,'SERVICE ENTRY'!$F$4:$F$1200,"Unknown or Other")</f>
        <v>0</v>
      </c>
    </row>
    <row r="54" spans="1:12" ht="15" x14ac:dyDescent="0.25">
      <c r="A54" s="68" t="s">
        <v>99</v>
      </c>
      <c r="B54" s="106">
        <f>COUNTIF('SERVICE ENTRY'!$BG$4:$BG$1200, 'Breast Cancers Diagnosed Report'!A54)</f>
        <v>0</v>
      </c>
      <c r="C54" s="92">
        <f>COUNTIFS('SERVICE ENTRY'!$BG$4:$BG$1200, 'Breast Cancers Diagnosed Report'!A54,'SERVICE ENTRY'!$G$4:$G$1200,"American Indian or Alaska Native")</f>
        <v>0</v>
      </c>
      <c r="D54" s="42">
        <f>COUNTIFS('SERVICE ENTRY'!$BG$4:$BG$1200, 'Breast Cancers Diagnosed Report'!A54,'SERVICE ENTRY'!$G$4:$G$1200,"Asian")</f>
        <v>0</v>
      </c>
      <c r="E54" s="42">
        <f>COUNTIFS('SERVICE ENTRY'!$BG$4:$BG$1200, 'Breast Cancers Diagnosed Report'!A54,'SERVICE ENTRY'!$G$4:$G$1200,"Black/African-American")</f>
        <v>0</v>
      </c>
      <c r="F54" s="42">
        <f>COUNTIFS('SERVICE ENTRY'!$BG$4:$BG$1200, 'Breast Cancers Diagnosed Report'!A54,'SERVICE ENTRY'!$G$4:$G$1200,"Middle Eastern or North African")</f>
        <v>0</v>
      </c>
      <c r="G54" s="100">
        <f>COUNTIFS('SERVICE ENTRY'!$BG$4:$BG$1200, 'Breast Cancers Diagnosed Report'!A54,'SERVICE ENTRY'!$G$4:$G$1200,"Native Hawaiian or Pacific Islander")</f>
        <v>0</v>
      </c>
      <c r="H54" s="100">
        <f>COUNTIFS('SERVICE ENTRY'!$BG$4:$BG$1200, 'Breast Cancers Diagnosed Report'!A54,'SERVICE ENTRY'!$G$4:$G$1200,"White")</f>
        <v>0</v>
      </c>
      <c r="I54" s="106">
        <f>COUNTIFS('SERVICE ENTRY'!$BG$4:$BG$1200, 'Breast Cancers Diagnosed Report'!A54,'SERVICE ENTRY'!$G$4:$G$1200,"Unknown or Other")</f>
        <v>0</v>
      </c>
      <c r="J54" s="102">
        <f>COUNTIFS('SERVICE ENTRY'!$BG$4:$BG$1200, 'Breast Cancers Diagnosed Report'!A54,'SERVICE ENTRY'!$F$4:$F$1200,"Colombian")+COUNTIFS('SERVICE ENTRY'!$BG$4:$BG$1200, 'Breast Cancers Diagnosed Report'!A54,'SERVICE ENTRY'!$F$4:$F$1200,"Cuban")+COUNTIFS('SERVICE ENTRY'!$BG$4:$BG$1200, 'Breast Cancers Diagnosed Report'!A54,'SERVICE ENTRY'!$F$4:$F$1200,"Dominican")+COUNTIFS('SERVICE ENTRY'!$BG$4:$BG$1200, 'Breast Cancers Diagnosed Report'!A54,'SERVICE ENTRY'!$F$4:$F$1200,"Mexican/Mexican-American/Chicano")+COUNTIFS('SERVICE ENTRY'!$BG$4:$BG$1200, 'Breast Cancers Diagnosed Report'!A54,'SERVICE ENTRY'!$F$4:$F$1200,"Puerto Rican")+COUNTIFS('SERVICE ENTRY'!$BG$4:$BG$1200, 'Breast Cancers Diagnosed Report'!A54,'SERVICE ENTRY'!$F$4:$F$1200,"Salvadoran")+COUNTIFS('SERVICE ENTRY'!$BG$4:$BG$1200, 'Breast Cancers Diagnosed Report'!A54,'SERVICE ENTRY'!$F$4:$F$1200,"Other Hispanic/Latino/Spanish origin")</f>
        <v>0</v>
      </c>
      <c r="K54" s="42">
        <f>COUNTIFS('SERVICE ENTRY'!$BG$4:$BG$1200, 'Breast Cancers Diagnosed Report'!A54,'SERVICE ENTRY'!$F$4:$F$1200,"Not of Hispanic/Latino/Spanish origin")</f>
        <v>0</v>
      </c>
      <c r="L54" s="42">
        <f>+COUNTIFS('SERVICE ENTRY'!$BG$4:$BG$1200, 'Breast Cancers Diagnosed Report'!A54,'SERVICE ENTRY'!$F$4:$F$1200,"Unknown or Other")</f>
        <v>0</v>
      </c>
    </row>
    <row r="55" spans="1:12" ht="15" x14ac:dyDescent="0.25">
      <c r="A55" s="68" t="s">
        <v>175</v>
      </c>
      <c r="B55" s="106">
        <f>COUNTIF('SERVICE ENTRY'!$BG$4:$BG$1200, 'Breast Cancers Diagnosed Report'!A55)</f>
        <v>0</v>
      </c>
      <c r="C55" s="92">
        <f>COUNTIFS('SERVICE ENTRY'!$BG$4:$BG$1200, 'Breast Cancers Diagnosed Report'!A55,'SERVICE ENTRY'!$G$4:$G$1200,"American Indian or Alaska Native")</f>
        <v>0</v>
      </c>
      <c r="D55" s="42">
        <f>COUNTIFS('SERVICE ENTRY'!$BG$4:$BG$1200, 'Breast Cancers Diagnosed Report'!A55,'SERVICE ENTRY'!$G$4:$G$1200,"Asian")</f>
        <v>0</v>
      </c>
      <c r="E55" s="42">
        <f>COUNTIFS('SERVICE ENTRY'!$BG$4:$BG$1200, 'Breast Cancers Diagnosed Report'!A55,'SERVICE ENTRY'!$G$4:$G$1200,"Black/African-American")</f>
        <v>0</v>
      </c>
      <c r="F55" s="42">
        <f>COUNTIFS('SERVICE ENTRY'!$BG$4:$BG$1200, 'Breast Cancers Diagnosed Report'!A55,'SERVICE ENTRY'!$G$4:$G$1200,"Middle Eastern or North African")</f>
        <v>0</v>
      </c>
      <c r="G55" s="100">
        <f>COUNTIFS('SERVICE ENTRY'!$BG$4:$BG$1200, 'Breast Cancers Diagnosed Report'!A55,'SERVICE ENTRY'!$G$4:$G$1200,"Native Hawaiian or Pacific Islander")</f>
        <v>0</v>
      </c>
      <c r="H55" s="100">
        <f>COUNTIFS('SERVICE ENTRY'!$BG$4:$BG$1200, 'Breast Cancers Diagnosed Report'!A55,'SERVICE ENTRY'!$G$4:$G$1200,"White")</f>
        <v>0</v>
      </c>
      <c r="I55" s="106">
        <f>COUNTIFS('SERVICE ENTRY'!$BG$4:$BG$1200, 'Breast Cancers Diagnosed Report'!A55,'SERVICE ENTRY'!$G$4:$G$1200,"Unknown or Other")</f>
        <v>0</v>
      </c>
      <c r="J55" s="102">
        <f>COUNTIFS('SERVICE ENTRY'!$BG$4:$BG$1200, 'Breast Cancers Diagnosed Report'!A55,'SERVICE ENTRY'!$F$4:$F$1200,"Colombian")+COUNTIFS('SERVICE ENTRY'!$BG$4:$BG$1200, 'Breast Cancers Diagnosed Report'!A55,'SERVICE ENTRY'!$F$4:$F$1200,"Cuban")+COUNTIFS('SERVICE ENTRY'!$BG$4:$BG$1200, 'Breast Cancers Diagnosed Report'!A55,'SERVICE ENTRY'!$F$4:$F$1200,"Dominican")+COUNTIFS('SERVICE ENTRY'!$BG$4:$BG$1200, 'Breast Cancers Diagnosed Report'!A55,'SERVICE ENTRY'!$F$4:$F$1200,"Mexican/Mexican-American/Chicano")+COUNTIFS('SERVICE ENTRY'!$BG$4:$BG$1200, 'Breast Cancers Diagnosed Report'!A55,'SERVICE ENTRY'!$F$4:$F$1200,"Puerto Rican")+COUNTIFS('SERVICE ENTRY'!$BG$4:$BG$1200, 'Breast Cancers Diagnosed Report'!A55,'SERVICE ENTRY'!$F$4:$F$1200,"Salvadoran")+COUNTIFS('SERVICE ENTRY'!$BG$4:$BG$1200, 'Breast Cancers Diagnosed Report'!A55,'SERVICE ENTRY'!$F$4:$F$1200,"Other Hispanic/Latino/Spanish origin")</f>
        <v>0</v>
      </c>
      <c r="K55" s="42">
        <f>COUNTIFS('SERVICE ENTRY'!$BG$4:$BG$1200, 'Breast Cancers Diagnosed Report'!A55,'SERVICE ENTRY'!$F$4:$F$1200,"Not of Hispanic/Latino/Spanish origin")</f>
        <v>0</v>
      </c>
      <c r="L55" s="42">
        <f>+COUNTIFS('SERVICE ENTRY'!$BG$4:$BG$1200, 'Breast Cancers Diagnosed Report'!A55,'SERVICE ENTRY'!$F$4:$F$1200,"Unknown or Other")</f>
        <v>0</v>
      </c>
    </row>
    <row r="56" spans="1:12" ht="15" x14ac:dyDescent="0.25">
      <c r="A56" s="68" t="s">
        <v>176</v>
      </c>
      <c r="B56" s="106">
        <f>COUNTIF('SERVICE ENTRY'!$BG$4:$BG$1200, 'Breast Cancers Diagnosed Report'!A56)</f>
        <v>0</v>
      </c>
      <c r="C56" s="92">
        <f>COUNTIFS('SERVICE ENTRY'!$BG$4:$BG$1200, 'Breast Cancers Diagnosed Report'!A56,'SERVICE ENTRY'!$G$4:$G$1200,"American Indian or Alaska Native")</f>
        <v>0</v>
      </c>
      <c r="D56" s="42">
        <f>COUNTIFS('SERVICE ENTRY'!$BG$4:$BG$1200, 'Breast Cancers Diagnosed Report'!A56,'SERVICE ENTRY'!$G$4:$G$1200,"Asian")</f>
        <v>0</v>
      </c>
      <c r="E56" s="42">
        <f>COUNTIFS('SERVICE ENTRY'!$BG$4:$BG$1200, 'Breast Cancers Diagnosed Report'!A56,'SERVICE ENTRY'!$G$4:$G$1200,"Black/African-American")</f>
        <v>0</v>
      </c>
      <c r="F56" s="42">
        <f>COUNTIFS('SERVICE ENTRY'!$BG$4:$BG$1200, 'Breast Cancers Diagnosed Report'!A56,'SERVICE ENTRY'!$G$4:$G$1200,"Middle Eastern or North African")</f>
        <v>0</v>
      </c>
      <c r="G56" s="100">
        <f>COUNTIFS('SERVICE ENTRY'!$BG$4:$BG$1200, 'Breast Cancers Diagnosed Report'!A56,'SERVICE ENTRY'!$G$4:$G$1200,"Native Hawaiian or Pacific Islander")</f>
        <v>0</v>
      </c>
      <c r="H56" s="100">
        <f>COUNTIFS('SERVICE ENTRY'!$BG$4:$BG$1200, 'Breast Cancers Diagnosed Report'!A56,'SERVICE ENTRY'!$G$4:$G$1200,"White")</f>
        <v>0</v>
      </c>
      <c r="I56" s="106">
        <f>COUNTIFS('SERVICE ENTRY'!$BG$4:$BG$1200, 'Breast Cancers Diagnosed Report'!A56,'SERVICE ENTRY'!$G$4:$G$1200,"Unknown or Other")</f>
        <v>0</v>
      </c>
      <c r="J56" s="102">
        <f>COUNTIFS('SERVICE ENTRY'!$BG$4:$BG$1200, 'Breast Cancers Diagnosed Report'!A56,'SERVICE ENTRY'!$F$4:$F$1200,"Colombian")+COUNTIFS('SERVICE ENTRY'!$BG$4:$BG$1200, 'Breast Cancers Diagnosed Report'!A56,'SERVICE ENTRY'!$F$4:$F$1200,"Cuban")+COUNTIFS('SERVICE ENTRY'!$BG$4:$BG$1200, 'Breast Cancers Diagnosed Report'!A56,'SERVICE ENTRY'!$F$4:$F$1200,"Dominican")+COUNTIFS('SERVICE ENTRY'!$BG$4:$BG$1200, 'Breast Cancers Diagnosed Report'!A56,'SERVICE ENTRY'!$F$4:$F$1200,"Mexican/Mexican-American/Chicano")+COUNTIFS('SERVICE ENTRY'!$BG$4:$BG$1200, 'Breast Cancers Diagnosed Report'!A56,'SERVICE ENTRY'!$F$4:$F$1200,"Puerto Rican")+COUNTIFS('SERVICE ENTRY'!$BG$4:$BG$1200, 'Breast Cancers Diagnosed Report'!A56,'SERVICE ENTRY'!$F$4:$F$1200,"Salvadoran")+COUNTIFS('SERVICE ENTRY'!$BG$4:$BG$1200, 'Breast Cancers Diagnosed Report'!A56,'SERVICE ENTRY'!$F$4:$F$1200,"Other Hispanic/Latino/Spanish origin")</f>
        <v>0</v>
      </c>
      <c r="K56" s="42">
        <f>COUNTIFS('SERVICE ENTRY'!$BG$4:$BG$1200, 'Breast Cancers Diagnosed Report'!A56,'SERVICE ENTRY'!$F$4:$F$1200,"Not of Hispanic/Latino/Spanish origin")</f>
        <v>0</v>
      </c>
      <c r="L56" s="42">
        <f>+COUNTIFS('SERVICE ENTRY'!$BG$4:$BG$1200, 'Breast Cancers Diagnosed Report'!A56,'SERVICE ENTRY'!$F$4:$F$1200,"Unknown or Other")</f>
        <v>0</v>
      </c>
    </row>
    <row r="57" spans="1:12" ht="15.75" thickBot="1" x14ac:dyDescent="0.3">
      <c r="A57" s="113" t="s">
        <v>236</v>
      </c>
      <c r="B57" s="106">
        <f>COUNTIF('SERVICE ENTRY'!$BG$4:$BG$1200, 'Breast Cancers Diagnosed Report'!A57)</f>
        <v>0</v>
      </c>
      <c r="C57" s="115">
        <f>COUNTIFS('SERVICE ENTRY'!$BG$4:$BG$1200, 'Breast Cancers Diagnosed Report'!A57,'SERVICE ENTRY'!$G$4:$G$1200,"American Indian or Alaska Native")</f>
        <v>0</v>
      </c>
      <c r="D57" s="99">
        <f>COUNTIFS('SERVICE ENTRY'!$BG$4:$BG$1200, 'Breast Cancers Diagnosed Report'!A57,'SERVICE ENTRY'!$G$4:$G$1200,"Asian")</f>
        <v>0</v>
      </c>
      <c r="E57" s="99">
        <f>COUNTIFS('SERVICE ENTRY'!$BG$4:$BG$1200, 'Breast Cancers Diagnosed Report'!A57,'SERVICE ENTRY'!$G$4:$G$1200,"Black/African-American")</f>
        <v>0</v>
      </c>
      <c r="F57" s="99">
        <f>COUNTIFS('SERVICE ENTRY'!$BG$4:$BG$1200, 'Breast Cancers Diagnosed Report'!A57,'SERVICE ENTRY'!$G$4:$G$1200,"Middle Eastern or North African")</f>
        <v>0</v>
      </c>
      <c r="G57" s="118">
        <f>COUNTIFS('SERVICE ENTRY'!$BG$4:$BG$1200, 'Breast Cancers Diagnosed Report'!A57,'SERVICE ENTRY'!$G$4:$G$1200,"Native Hawaiian or Pacific Islander")</f>
        <v>0</v>
      </c>
      <c r="H57" s="118">
        <f>COUNTIFS('SERVICE ENTRY'!$BG$4:$BG$1200, 'Breast Cancers Diagnosed Report'!A57,'SERVICE ENTRY'!$G$4:$G$1200,"White")</f>
        <v>0</v>
      </c>
      <c r="I57" s="117">
        <f>COUNTIFS('SERVICE ENTRY'!$BG$4:$BG$1200, 'Breast Cancers Diagnosed Report'!A57,'SERVICE ENTRY'!$G$4:$G$1200,"Unknown or Other")</f>
        <v>0</v>
      </c>
      <c r="J57" s="120">
        <f>COUNTIFS('SERVICE ENTRY'!$BG$4:$BG$1200, 'Breast Cancers Diagnosed Report'!A57,'SERVICE ENTRY'!$F$4:$F$1200,"Colombian")+COUNTIFS('SERVICE ENTRY'!$BG$4:$BG$1200, 'Breast Cancers Diagnosed Report'!A57,'SERVICE ENTRY'!$F$4:$F$1200,"Cuban")+COUNTIFS('SERVICE ENTRY'!$BG$4:$BG$1200, 'Breast Cancers Diagnosed Report'!A57,'SERVICE ENTRY'!$F$4:$F$1200,"Dominican")+COUNTIFS('SERVICE ENTRY'!$BG$4:$BG$1200, 'Breast Cancers Diagnosed Report'!A57,'SERVICE ENTRY'!$F$4:$F$1200,"Mexican/Mexican-American/Chicano")+COUNTIFS('SERVICE ENTRY'!$BG$4:$BG$1200, 'Breast Cancers Diagnosed Report'!A57,'SERVICE ENTRY'!$F$4:$F$1200,"Puerto Rican")+COUNTIFS('SERVICE ENTRY'!$BG$4:$BG$1200, 'Breast Cancers Diagnosed Report'!A57,'SERVICE ENTRY'!$F$4:$F$1200,"Salvadoran")+COUNTIFS('SERVICE ENTRY'!$BG$4:$BG$1200, 'Breast Cancers Diagnosed Report'!A57,'SERVICE ENTRY'!$F$4:$F$1200,"Other Hispanic/Latino/Spanish origin")</f>
        <v>0</v>
      </c>
      <c r="K57" s="99">
        <f>COUNTIFS('SERVICE ENTRY'!$BG$4:$BG$1200, 'Breast Cancers Diagnosed Report'!A57,'SERVICE ENTRY'!$F$4:$F$1200,"Not of Hispanic/Latino/Spanish origin")</f>
        <v>0</v>
      </c>
      <c r="L57" s="99">
        <f>+COUNTIFS('SERVICE ENTRY'!$BG$4:$BG$1200, 'Breast Cancers Diagnosed Report'!A57,'SERVICE ENTRY'!$F$4:$F$1200,"Unknown or Other")</f>
        <v>0</v>
      </c>
    </row>
    <row r="58" spans="1:12" ht="15.75" thickBot="1" x14ac:dyDescent="0.3">
      <c r="A58" s="365" t="s">
        <v>322</v>
      </c>
      <c r="B58" s="367">
        <f>SUM(B52:B57)</f>
        <v>0</v>
      </c>
      <c r="C58" s="198">
        <f>SUM(C52:C57)</f>
        <v>0</v>
      </c>
      <c r="D58" s="215">
        <f>SUM(D52:D57)</f>
        <v>0</v>
      </c>
      <c r="E58" s="215">
        <f t="shared" ref="E58:I58" si="4">SUM(E52:E57)</f>
        <v>0</v>
      </c>
      <c r="F58" s="215">
        <f t="shared" si="4"/>
        <v>0</v>
      </c>
      <c r="G58" s="215">
        <f t="shared" si="4"/>
        <v>0</v>
      </c>
      <c r="H58" s="215">
        <f t="shared" si="4"/>
        <v>0</v>
      </c>
      <c r="I58" s="217">
        <f t="shared" si="4"/>
        <v>0</v>
      </c>
      <c r="J58" s="198">
        <f t="shared" ref="J58" si="5">SUM(J52:J57)</f>
        <v>0</v>
      </c>
      <c r="K58" s="215">
        <f t="shared" ref="K58" si="6">SUM(K52:K57)</f>
        <v>0</v>
      </c>
      <c r="L58" s="216">
        <f t="shared" ref="L58" si="7">SUM(L52:L57)</f>
        <v>0</v>
      </c>
    </row>
    <row r="59" spans="1:12" ht="27.75" customHeight="1" thickBot="1" x14ac:dyDescent="0.3">
      <c r="A59" s="366"/>
      <c r="B59" s="368"/>
      <c r="C59" s="372">
        <f>SUM(C58:I58)</f>
        <v>0</v>
      </c>
      <c r="D59" s="373"/>
      <c r="E59" s="373"/>
      <c r="F59" s="373"/>
      <c r="G59" s="373"/>
      <c r="H59" s="373"/>
      <c r="I59" s="373"/>
      <c r="J59" s="372">
        <f>SUM(J58:L58)</f>
        <v>0</v>
      </c>
      <c r="K59" s="373"/>
      <c r="L59" s="374"/>
    </row>
  </sheetData>
  <sheetProtection algorithmName="SHA-512" hashValue="jtKLafeA4dmtGU4haXbO3HxaIQZZ2xDIb8NhkxtNDNlr9AkY0ozL8vkMczethQQ+XxtRzl5dfRlPsfVNe7dC5A==" saltValue="2VUJRnfKPct2khAgmSq4Ng==" spinCount="100000" sheet="1" objects="1" scenarios="1"/>
  <mergeCells count="26">
    <mergeCell ref="A1:K1"/>
    <mergeCell ref="A2:K2"/>
    <mergeCell ref="C3:I4"/>
    <mergeCell ref="J3:L4"/>
    <mergeCell ref="A14:A15"/>
    <mergeCell ref="B14:B15"/>
    <mergeCell ref="C15:I15"/>
    <mergeCell ref="J15:L15"/>
    <mergeCell ref="A3:A4"/>
    <mergeCell ref="B3:B4"/>
    <mergeCell ref="A25:A26"/>
    <mergeCell ref="B25:B26"/>
    <mergeCell ref="C26:I26"/>
    <mergeCell ref="J26:L26"/>
    <mergeCell ref="A36:A37"/>
    <mergeCell ref="B36:B37"/>
    <mergeCell ref="C37:I37"/>
    <mergeCell ref="J37:L37"/>
    <mergeCell ref="A47:A48"/>
    <mergeCell ref="B47:B48"/>
    <mergeCell ref="C48:I48"/>
    <mergeCell ref="J48:L48"/>
    <mergeCell ref="A58:A59"/>
    <mergeCell ref="B58:B59"/>
    <mergeCell ref="C59:I59"/>
    <mergeCell ref="J59:L59"/>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A1:M52"/>
  <sheetViews>
    <sheetView zoomScale="80" zoomScaleNormal="80" workbookViewId="0">
      <selection activeCell="C55" sqref="C55"/>
    </sheetView>
  </sheetViews>
  <sheetFormatPr defaultRowHeight="14.25" x14ac:dyDescent="0.2"/>
  <cols>
    <col min="1" max="1" width="37.7109375" style="15" customWidth="1"/>
    <col min="2" max="2" width="33.7109375" style="15" customWidth="1"/>
    <col min="3" max="3" width="26.7109375" style="16" customWidth="1"/>
    <col min="4" max="4" width="22.85546875" style="16" customWidth="1"/>
    <col min="5" max="5" width="16.7109375" style="18" customWidth="1"/>
    <col min="6" max="6" width="17.5703125" style="18" customWidth="1"/>
    <col min="7" max="7" width="15" style="18" customWidth="1"/>
    <col min="8" max="8" width="13.85546875" style="18" customWidth="1"/>
    <col min="9" max="9" width="17.140625" style="16" customWidth="1"/>
    <col min="10" max="10" width="27.5703125" style="16" customWidth="1"/>
    <col min="11" max="11" width="16.85546875" style="16" customWidth="1"/>
    <col min="12" max="12" width="22.28515625" style="3" customWidth="1"/>
    <col min="13" max="13" width="24.28515625" style="3" customWidth="1"/>
    <col min="14" max="16384" width="9.140625" style="3"/>
  </cols>
  <sheetData>
    <row r="1" spans="1:11" ht="29.25" customHeight="1" x14ac:dyDescent="0.2">
      <c r="A1" s="389" t="s">
        <v>53</v>
      </c>
      <c r="B1" s="390"/>
      <c r="E1" s="16"/>
      <c r="F1" s="3"/>
      <c r="G1" s="3"/>
      <c r="H1" s="3"/>
      <c r="I1" s="3"/>
      <c r="J1" s="3"/>
      <c r="K1" s="3"/>
    </row>
    <row r="2" spans="1:11" ht="37.5" customHeight="1" x14ac:dyDescent="0.2">
      <c r="A2" s="391"/>
      <c r="B2" s="392"/>
      <c r="E2" s="16"/>
      <c r="F2" s="3"/>
      <c r="G2" s="3"/>
      <c r="H2" s="3"/>
      <c r="I2" s="3"/>
      <c r="J2" s="3"/>
      <c r="K2" s="3"/>
    </row>
    <row r="3" spans="1:11" ht="75.75" customHeight="1" x14ac:dyDescent="0.2">
      <c r="A3" s="22" t="s">
        <v>234</v>
      </c>
      <c r="B3" s="8" t="s">
        <v>262</v>
      </c>
      <c r="E3" s="16"/>
      <c r="F3" s="16"/>
      <c r="G3" s="16"/>
      <c r="H3" s="3"/>
      <c r="I3" s="3"/>
      <c r="J3" s="3"/>
      <c r="K3" s="3"/>
    </row>
    <row r="4" spans="1:11" s="54" customFormat="1" ht="36.75" customHeight="1" thickBot="1" x14ac:dyDescent="0.3">
      <c r="A4" s="171" t="s">
        <v>113</v>
      </c>
      <c r="B4" s="42">
        <f>COUNTIF('SERVICE ENTRY'!$K$4:$K$1200,A4)</f>
        <v>0</v>
      </c>
      <c r="C4" s="90"/>
      <c r="D4" s="90"/>
    </row>
    <row r="5" spans="1:11" s="54" customFormat="1" ht="34.5" customHeight="1" thickBot="1" x14ac:dyDescent="0.3">
      <c r="A5" s="171" t="s">
        <v>114</v>
      </c>
      <c r="B5" s="98">
        <f>COUNTIF('SERVICE ENTRY'!$K$4:$K$1200,A5)</f>
        <v>0</v>
      </c>
    </row>
    <row r="6" spans="1:11" s="54" customFormat="1" ht="33.75" customHeight="1" x14ac:dyDescent="0.25">
      <c r="A6" s="69" t="s">
        <v>270</v>
      </c>
      <c r="B6" s="97">
        <f>SUM(B4:B5)</f>
        <v>0</v>
      </c>
      <c r="C6" s="55"/>
      <c r="D6" s="51"/>
      <c r="E6" s="62"/>
      <c r="F6" s="62"/>
      <c r="G6" s="55"/>
      <c r="H6" s="63"/>
      <c r="I6" s="16"/>
      <c r="J6" s="16"/>
      <c r="K6" s="16"/>
    </row>
    <row r="7" spans="1:11" s="54" customFormat="1" ht="15" customHeight="1" x14ac:dyDescent="0.25">
      <c r="A7" s="16"/>
      <c r="B7" s="56"/>
      <c r="C7" s="55"/>
      <c r="D7" s="51"/>
      <c r="E7" s="62"/>
      <c r="F7" s="62"/>
      <c r="G7" s="55"/>
      <c r="H7" s="63"/>
      <c r="I7" s="16"/>
      <c r="J7" s="16"/>
      <c r="K7" s="16"/>
    </row>
    <row r="8" spans="1:11" s="54" customFormat="1" ht="15" customHeight="1" x14ac:dyDescent="0.25">
      <c r="A8" s="16"/>
      <c r="B8" s="56"/>
      <c r="C8" s="55"/>
      <c r="D8" s="51"/>
      <c r="E8" s="62"/>
      <c r="F8" s="62"/>
      <c r="G8" s="55"/>
      <c r="H8" s="63"/>
      <c r="I8" s="16"/>
      <c r="J8" s="16"/>
      <c r="K8" s="16"/>
    </row>
    <row r="9" spans="1:11" s="54" customFormat="1" ht="60" customHeight="1" x14ac:dyDescent="0.2">
      <c r="A9" s="23" t="s">
        <v>259</v>
      </c>
      <c r="B9" s="21" t="s">
        <v>263</v>
      </c>
      <c r="C9" s="18"/>
      <c r="D9" s="18"/>
      <c r="E9" s="18"/>
      <c r="F9" s="18"/>
      <c r="G9" s="16"/>
      <c r="H9" s="16"/>
      <c r="I9" s="16"/>
    </row>
    <row r="10" spans="1:11" s="54" customFormat="1" ht="40.5" customHeight="1" x14ac:dyDescent="0.25">
      <c r="A10" s="68" t="s">
        <v>115</v>
      </c>
      <c r="B10" s="42">
        <f>COUNTIF('SERVICE ENTRY'!$L$4:$M$1200, A10)</f>
        <v>0</v>
      </c>
      <c r="C10" s="18"/>
      <c r="D10" s="18"/>
      <c r="E10" s="18"/>
      <c r="F10" s="18"/>
      <c r="G10" s="16"/>
      <c r="H10" s="16"/>
      <c r="I10" s="16"/>
    </row>
    <row r="11" spans="1:11" s="54" customFormat="1" ht="51.75" customHeight="1" x14ac:dyDescent="0.25">
      <c r="A11" s="68" t="s">
        <v>116</v>
      </c>
      <c r="B11" s="42">
        <f>COUNTIF('SERVICE ENTRY'!$L$4:$M$1200, A11)</f>
        <v>0</v>
      </c>
      <c r="E11" s="18"/>
      <c r="F11" s="18"/>
      <c r="G11" s="16"/>
      <c r="H11" s="16"/>
      <c r="I11" s="16"/>
    </row>
    <row r="12" spans="1:11" s="54" customFormat="1" ht="37.5" customHeight="1" x14ac:dyDescent="0.25">
      <c r="A12" s="68" t="s">
        <v>130</v>
      </c>
      <c r="B12" s="42">
        <f>COUNTIF('SERVICE ENTRY'!$L$4:$M$1200, A12)</f>
        <v>0</v>
      </c>
      <c r="E12" s="18"/>
      <c r="F12" s="18"/>
      <c r="G12" s="16"/>
      <c r="H12" s="16"/>
      <c r="I12" s="16"/>
    </row>
    <row r="13" spans="1:11" s="54" customFormat="1" ht="42.75" customHeight="1" x14ac:dyDescent="0.25">
      <c r="A13" s="68" t="s">
        <v>117</v>
      </c>
      <c r="B13" s="42">
        <f>COUNTIF('SERVICE ENTRY'!$L$4:$M$1200, A13)</f>
        <v>0</v>
      </c>
      <c r="E13" s="18"/>
      <c r="F13" s="18"/>
      <c r="G13" s="16"/>
      <c r="H13" s="16"/>
      <c r="I13" s="16"/>
    </row>
    <row r="14" spans="1:11" s="54" customFormat="1" ht="36.75" customHeight="1" x14ac:dyDescent="0.25">
      <c r="A14" s="68" t="s">
        <v>131</v>
      </c>
      <c r="B14" s="42">
        <f>COUNTIF('SERVICE ENTRY'!$L$4:$M$1200, A14)</f>
        <v>0</v>
      </c>
      <c r="E14" s="18"/>
      <c r="F14" s="18"/>
      <c r="G14" s="16"/>
      <c r="H14" s="16"/>
      <c r="I14" s="16"/>
    </row>
    <row r="15" spans="1:11" s="54" customFormat="1" ht="36.75" customHeight="1" x14ac:dyDescent="0.25">
      <c r="A15" s="68" t="s">
        <v>3481</v>
      </c>
      <c r="B15" s="42">
        <f>COUNTIF('SERVICE ENTRY'!$L$4:$M$1200, A15)</f>
        <v>0</v>
      </c>
      <c r="E15" s="18"/>
      <c r="F15" s="18"/>
      <c r="G15" s="16"/>
      <c r="H15" s="16"/>
      <c r="I15" s="16"/>
    </row>
    <row r="16" spans="1:11" s="54" customFormat="1" ht="38.25" customHeight="1" x14ac:dyDescent="0.25">
      <c r="A16" s="68" t="s">
        <v>132</v>
      </c>
      <c r="B16" s="42">
        <f>COUNTIF('SERVICE ENTRY'!$L$4:$M$1200, A16)</f>
        <v>0</v>
      </c>
      <c r="E16" s="18"/>
      <c r="F16" s="18"/>
      <c r="G16" s="16"/>
      <c r="H16" s="16"/>
      <c r="I16" s="16"/>
    </row>
    <row r="17" spans="1:11" s="54" customFormat="1" ht="13.5" customHeight="1" x14ac:dyDescent="0.2">
      <c r="A17" s="16"/>
      <c r="B17" s="16"/>
      <c r="C17" s="16"/>
      <c r="D17" s="16"/>
      <c r="G17" s="18"/>
      <c r="H17" s="18"/>
      <c r="I17" s="16"/>
      <c r="J17" s="16"/>
      <c r="K17" s="16"/>
    </row>
    <row r="18" spans="1:11" s="54" customFormat="1" ht="15" customHeight="1" x14ac:dyDescent="0.2">
      <c r="A18" s="16"/>
      <c r="B18" s="16"/>
      <c r="C18" s="16"/>
      <c r="D18" s="16"/>
      <c r="G18" s="18"/>
      <c r="H18" s="18"/>
      <c r="I18" s="16"/>
      <c r="J18" s="16"/>
      <c r="K18" s="16"/>
    </row>
    <row r="19" spans="1:11" s="54" customFormat="1" ht="48" customHeight="1" x14ac:dyDescent="0.2">
      <c r="A19" s="65" t="s">
        <v>257</v>
      </c>
      <c r="B19" s="64" t="s">
        <v>258</v>
      </c>
      <c r="C19" s="16"/>
      <c r="D19" s="16"/>
      <c r="G19" s="18"/>
      <c r="H19" s="18"/>
      <c r="I19" s="16"/>
      <c r="J19" s="16"/>
      <c r="K19" s="16"/>
    </row>
    <row r="20" spans="1:11" s="54" customFormat="1" ht="27.75" customHeight="1" x14ac:dyDescent="0.25">
      <c r="A20" s="68" t="s">
        <v>115</v>
      </c>
      <c r="B20" s="93">
        <f>SUMIFS('SERVICE ENTRY'!$N$4:$N$1200,'SERVICE ENTRY'!$L$4:$L$1200,'Education &amp; Training Report'!A20)+SUMIFS('SERVICE ENTRY'!$N$4:$N$1200,'SERVICE ENTRY'!$M$4:$M$1200,'Education &amp; Training Report'!A20)</f>
        <v>0</v>
      </c>
      <c r="C20" s="16"/>
      <c r="D20" s="16"/>
      <c r="G20" s="18"/>
      <c r="H20" s="18"/>
      <c r="I20" s="16"/>
      <c r="J20" s="16"/>
      <c r="K20" s="16"/>
    </row>
    <row r="21" spans="1:11" s="54" customFormat="1" ht="37.5" customHeight="1" x14ac:dyDescent="0.25">
      <c r="A21" s="68" t="s">
        <v>116</v>
      </c>
      <c r="B21" s="93">
        <f>SUMIFS('SERVICE ENTRY'!$N$4:$N$1200,'SERVICE ENTRY'!$L$4:$L$1200,'Education &amp; Training Report'!A21)+SUMIFS('SERVICE ENTRY'!$N$4:$N$1200,'SERVICE ENTRY'!$M$4:$M$1200,'Education &amp; Training Report'!A21)</f>
        <v>0</v>
      </c>
      <c r="C21" s="16"/>
      <c r="D21" s="16"/>
      <c r="G21" s="18"/>
      <c r="H21" s="18"/>
      <c r="I21" s="16"/>
      <c r="J21" s="16"/>
      <c r="K21" s="16"/>
    </row>
    <row r="22" spans="1:11" s="54" customFormat="1" ht="27.75" customHeight="1" x14ac:dyDescent="0.25">
      <c r="A22" s="68" t="s">
        <v>130</v>
      </c>
      <c r="B22" s="93">
        <f>SUMIFS('SERVICE ENTRY'!$N$4:$N$1200,'SERVICE ENTRY'!$L$4:$L$1200,'Education &amp; Training Report'!A22)+SUMIFS('SERVICE ENTRY'!$N$4:$N$1200,'SERVICE ENTRY'!$M$4:$M$1200,'Education &amp; Training Report'!A22)</f>
        <v>0</v>
      </c>
      <c r="C22" s="16"/>
      <c r="D22" s="16"/>
      <c r="G22" s="18"/>
      <c r="H22" s="18"/>
      <c r="I22" s="16"/>
      <c r="J22" s="16"/>
      <c r="K22" s="16"/>
    </row>
    <row r="23" spans="1:11" s="54" customFormat="1" ht="27.75" customHeight="1" x14ac:dyDescent="0.25">
      <c r="A23" s="68" t="s">
        <v>117</v>
      </c>
      <c r="B23" s="93">
        <f>SUMIFS('SERVICE ENTRY'!$N$4:$N$1200,'SERVICE ENTRY'!$L$4:$L$1200,'Education &amp; Training Report'!A23)+SUMIFS('SERVICE ENTRY'!$N$4:$N$1200,'SERVICE ENTRY'!$M$4:$M$1200,'Education &amp; Training Report'!A23)</f>
        <v>0</v>
      </c>
      <c r="C23" s="16"/>
      <c r="D23" s="16"/>
      <c r="G23" s="18"/>
      <c r="H23" s="18"/>
      <c r="I23" s="16"/>
      <c r="J23" s="16"/>
      <c r="K23" s="16"/>
    </row>
    <row r="24" spans="1:11" s="54" customFormat="1" ht="39.75" customHeight="1" x14ac:dyDescent="0.25">
      <c r="A24" s="68" t="s">
        <v>131</v>
      </c>
      <c r="B24" s="93">
        <f>SUMIFS('SERVICE ENTRY'!$N$4:$N$1200,'SERVICE ENTRY'!$L$4:$L$1200,'Education &amp; Training Report'!A24)+SUMIFS('SERVICE ENTRY'!$N$4:$N$1200,'SERVICE ENTRY'!$M$4:$M$1200,'Education &amp; Training Report'!A24)</f>
        <v>0</v>
      </c>
      <c r="C24" s="16"/>
      <c r="D24" s="16"/>
      <c r="G24" s="18"/>
      <c r="H24" s="18"/>
      <c r="I24" s="16"/>
      <c r="J24" s="16"/>
      <c r="K24" s="16"/>
    </row>
    <row r="25" spans="1:11" s="54" customFormat="1" ht="39.75" customHeight="1" x14ac:dyDescent="0.25">
      <c r="A25" s="68" t="s">
        <v>288</v>
      </c>
      <c r="B25" s="93">
        <f>SUMIFS('SERVICE ENTRY'!$N$4:$N$1200,'SERVICE ENTRY'!$L$4:$L$1200,'Education &amp; Training Report'!A25)+SUMIFS('SERVICE ENTRY'!$N$4:$N$1200,'SERVICE ENTRY'!$M$4:$M$1200,'Education &amp; Training Report'!A25)</f>
        <v>0</v>
      </c>
      <c r="C25" s="16"/>
      <c r="D25" s="16"/>
      <c r="G25" s="18"/>
      <c r="H25" s="18"/>
      <c r="I25" s="16"/>
      <c r="J25" s="16"/>
      <c r="K25" s="16"/>
    </row>
    <row r="26" spans="1:11" s="54" customFormat="1" ht="23.25" customHeight="1" thickBot="1" x14ac:dyDescent="0.3">
      <c r="A26" s="113" t="s">
        <v>132</v>
      </c>
      <c r="B26" s="254">
        <f>SUMIFS('SERVICE ENTRY'!$N$4:$N$1200,'SERVICE ENTRY'!$L$4:$L$1200,'Education &amp; Training Report'!A26)+SUMIFS('SERVICE ENTRY'!$N$4:$N$1200,'SERVICE ENTRY'!$M$4:$M$1200,'Education &amp; Training Report'!A26)</f>
        <v>0</v>
      </c>
      <c r="C26" s="16"/>
      <c r="D26" s="16"/>
      <c r="E26" s="18"/>
      <c r="F26" s="18"/>
      <c r="G26" s="18"/>
      <c r="H26" s="18"/>
      <c r="I26" s="16"/>
      <c r="J26" s="16"/>
      <c r="K26" s="16"/>
    </row>
    <row r="27" spans="1:11" s="54" customFormat="1" ht="25.5" customHeight="1" x14ac:dyDescent="0.25">
      <c r="A27" s="69" t="s">
        <v>271</v>
      </c>
      <c r="B27" s="253">
        <f>SUM(B20:B26)</f>
        <v>0</v>
      </c>
      <c r="C27" s="16"/>
      <c r="D27" s="16"/>
      <c r="E27" s="18"/>
      <c r="F27" s="18"/>
      <c r="G27" s="18"/>
      <c r="H27" s="18"/>
      <c r="I27" s="16"/>
      <c r="J27" s="16"/>
      <c r="K27" s="16"/>
    </row>
    <row r="28" spans="1:11" s="54" customFormat="1" ht="14.25" customHeight="1" x14ac:dyDescent="0.2">
      <c r="A28" s="16"/>
      <c r="B28" s="16"/>
      <c r="C28" s="16"/>
      <c r="D28" s="16"/>
      <c r="E28" s="18"/>
      <c r="F28" s="18"/>
      <c r="G28" s="18"/>
      <c r="H28" s="18"/>
      <c r="I28" s="16"/>
      <c r="J28" s="16"/>
      <c r="K28" s="16"/>
    </row>
    <row r="29" spans="1:11" s="54" customFormat="1" ht="12" customHeight="1" x14ac:dyDescent="0.2">
      <c r="A29" s="16"/>
      <c r="B29" s="16"/>
      <c r="C29" s="16"/>
      <c r="D29" s="16"/>
      <c r="E29" s="18"/>
      <c r="F29" s="18"/>
      <c r="G29" s="18"/>
      <c r="H29" s="18"/>
      <c r="I29" s="16"/>
      <c r="J29" s="16"/>
      <c r="K29" s="16"/>
    </row>
    <row r="30" spans="1:11" s="54" customFormat="1" ht="43.5" customHeight="1" x14ac:dyDescent="0.2">
      <c r="A30" s="8" t="s">
        <v>87</v>
      </c>
      <c r="B30" s="8" t="s">
        <v>321</v>
      </c>
      <c r="C30" s="16"/>
      <c r="D30" s="16"/>
      <c r="E30" s="18"/>
      <c r="F30" s="18"/>
      <c r="G30" s="18"/>
      <c r="H30" s="18"/>
      <c r="I30" s="16"/>
      <c r="J30" s="16"/>
      <c r="K30" s="16"/>
    </row>
    <row r="31" spans="1:11" s="54" customFormat="1" ht="39.75" customHeight="1" x14ac:dyDescent="0.25">
      <c r="A31" s="68" t="s">
        <v>62</v>
      </c>
      <c r="B31" s="42">
        <f>COUNTIF('SERVICE ENTRY'!$O$4:$O$1200,'Education &amp; Training Report'!A31)</f>
        <v>0</v>
      </c>
      <c r="C31" s="16"/>
      <c r="D31" s="16"/>
      <c r="E31" s="18"/>
      <c r="F31" s="18"/>
      <c r="G31" s="18"/>
      <c r="H31" s="18"/>
      <c r="I31" s="16"/>
      <c r="J31" s="16"/>
      <c r="K31" s="16"/>
    </row>
    <row r="32" spans="1:11" s="54" customFormat="1" ht="39.75" customHeight="1" x14ac:dyDescent="0.25">
      <c r="A32" s="68" t="s">
        <v>83</v>
      </c>
      <c r="B32" s="42">
        <f>COUNTIF('SERVICE ENTRY'!$O$4:$O$1200,'Education &amp; Training Report'!A32)</f>
        <v>0</v>
      </c>
      <c r="C32" s="16"/>
      <c r="D32" s="16"/>
      <c r="E32" s="18"/>
      <c r="F32" s="18"/>
      <c r="G32" s="18"/>
      <c r="H32" s="18"/>
      <c r="I32" s="16"/>
      <c r="J32" s="16"/>
      <c r="K32" s="16"/>
    </row>
    <row r="33" spans="1:11" s="54" customFormat="1" ht="12" customHeight="1" x14ac:dyDescent="0.2">
      <c r="A33" s="16"/>
      <c r="B33" s="16"/>
      <c r="C33" s="16"/>
      <c r="D33" s="16"/>
      <c r="E33" s="18"/>
      <c r="F33" s="18"/>
      <c r="G33" s="18"/>
      <c r="H33" s="18"/>
      <c r="I33" s="16"/>
      <c r="J33" s="16"/>
      <c r="K33" s="16"/>
    </row>
    <row r="34" spans="1:11" s="54" customFormat="1" ht="12" customHeight="1" x14ac:dyDescent="0.2">
      <c r="A34" s="16"/>
      <c r="B34" s="16"/>
      <c r="C34" s="16"/>
      <c r="D34" s="16"/>
      <c r="E34" s="18"/>
      <c r="F34" s="18"/>
      <c r="G34" s="18"/>
      <c r="H34" s="18"/>
      <c r="I34" s="16"/>
      <c r="J34" s="16"/>
      <c r="K34" s="16"/>
    </row>
    <row r="35" spans="1:11" s="54" customFormat="1" ht="45" customHeight="1" x14ac:dyDescent="0.2">
      <c r="A35" s="23" t="s">
        <v>88</v>
      </c>
      <c r="B35" s="23" t="s">
        <v>264</v>
      </c>
      <c r="C35" s="16"/>
      <c r="D35" s="16"/>
      <c r="E35" s="18"/>
      <c r="F35" s="18"/>
      <c r="G35" s="18"/>
      <c r="H35" s="18"/>
      <c r="I35" s="16"/>
      <c r="J35" s="16"/>
      <c r="K35" s="16"/>
    </row>
    <row r="36" spans="1:11" s="54" customFormat="1" ht="45" customHeight="1" x14ac:dyDescent="0.25">
      <c r="A36" s="68" t="s">
        <v>359</v>
      </c>
      <c r="B36" s="175">
        <f>COUNTIF('SERVICE ENTRY'!$P$4:$P$1200,'Education &amp; Training Report'!A36)</f>
        <v>0</v>
      </c>
      <c r="C36" s="16"/>
      <c r="D36" s="16"/>
      <c r="E36" s="18"/>
      <c r="F36" s="18"/>
      <c r="G36" s="18"/>
      <c r="H36" s="18"/>
      <c r="I36" s="16"/>
      <c r="J36" s="16"/>
      <c r="K36" s="16"/>
    </row>
    <row r="37" spans="1:11" s="54" customFormat="1" ht="39.75" customHeight="1" x14ac:dyDescent="0.25">
      <c r="A37" s="68" t="s">
        <v>202</v>
      </c>
      <c r="B37" s="175">
        <f>COUNTIF('SERVICE ENTRY'!$P$4:$P$1200,'Education &amp; Training Report'!A37)</f>
        <v>0</v>
      </c>
      <c r="C37" s="16"/>
      <c r="D37" s="16"/>
      <c r="E37" s="18"/>
      <c r="F37" s="18"/>
      <c r="G37" s="18"/>
      <c r="H37" s="18"/>
      <c r="I37" s="16"/>
      <c r="J37" s="16"/>
      <c r="K37" s="16"/>
    </row>
    <row r="38" spans="1:11" s="54" customFormat="1" ht="38.25" customHeight="1" x14ac:dyDescent="0.25">
      <c r="A38" s="68" t="s">
        <v>193</v>
      </c>
      <c r="B38" s="175">
        <f>COUNTIF('SERVICE ENTRY'!$P$4:$P$1200,'Education &amp; Training Report'!A38)</f>
        <v>0</v>
      </c>
      <c r="C38" s="16"/>
      <c r="D38" s="16"/>
      <c r="E38" s="18"/>
      <c r="F38" s="18"/>
      <c r="G38" s="18"/>
      <c r="H38" s="18"/>
      <c r="I38" s="16"/>
      <c r="J38" s="16"/>
      <c r="K38" s="16"/>
    </row>
    <row r="39" spans="1:11" s="54" customFormat="1" ht="45" customHeight="1" x14ac:dyDescent="0.25">
      <c r="A39" s="68" t="s">
        <v>194</v>
      </c>
      <c r="B39" s="175">
        <f>COUNTIF('SERVICE ENTRY'!$P$4:$P$1200,'Education &amp; Training Report'!A39)</f>
        <v>0</v>
      </c>
      <c r="C39" s="16"/>
      <c r="D39" s="16"/>
      <c r="E39" s="18"/>
      <c r="F39" s="18"/>
      <c r="G39" s="18"/>
      <c r="H39" s="18"/>
      <c r="I39" s="16"/>
      <c r="J39" s="16"/>
      <c r="K39" s="16"/>
    </row>
    <row r="40" spans="1:11" s="54" customFormat="1" ht="37.5" customHeight="1" x14ac:dyDescent="0.25">
      <c r="A40" s="68" t="s">
        <v>203</v>
      </c>
      <c r="B40" s="175">
        <f>COUNTIF('SERVICE ENTRY'!$P$4:$P$1200,'Education &amp; Training Report'!A40)</f>
        <v>0</v>
      </c>
      <c r="C40" s="16"/>
      <c r="D40" s="16"/>
      <c r="E40" s="18"/>
      <c r="F40" s="18"/>
      <c r="G40" s="18"/>
      <c r="H40" s="18"/>
      <c r="I40" s="16"/>
      <c r="J40" s="16"/>
      <c r="K40" s="16"/>
    </row>
    <row r="41" spans="1:11" s="54" customFormat="1" ht="37.5" customHeight="1" x14ac:dyDescent="0.25">
      <c r="A41" s="68" t="s">
        <v>292</v>
      </c>
      <c r="B41" s="175">
        <f>COUNTIF('SERVICE ENTRY'!$P$4:$P$1200,'Education &amp; Training Report'!A41)</f>
        <v>0</v>
      </c>
      <c r="C41" s="16"/>
      <c r="D41" s="16"/>
      <c r="E41" s="18"/>
      <c r="F41" s="18"/>
      <c r="G41" s="18"/>
      <c r="H41" s="18"/>
      <c r="I41" s="16"/>
      <c r="J41" s="16"/>
      <c r="K41" s="16"/>
    </row>
    <row r="42" spans="1:11" s="54" customFormat="1" ht="33" customHeight="1" x14ac:dyDescent="0.25">
      <c r="A42" s="68" t="s">
        <v>293</v>
      </c>
      <c r="B42" s="175">
        <f>COUNTIF('SERVICE ENTRY'!$P$4:$P$1200,'Education &amp; Training Report'!A42)</f>
        <v>0</v>
      </c>
      <c r="C42" s="16"/>
      <c r="D42" s="16"/>
      <c r="E42" s="18"/>
      <c r="F42" s="18"/>
      <c r="G42" s="18"/>
      <c r="H42" s="18"/>
      <c r="I42" s="16"/>
      <c r="J42" s="16"/>
      <c r="K42" s="16"/>
    </row>
    <row r="43" spans="1:11" s="54" customFormat="1" ht="27.75" customHeight="1" x14ac:dyDescent="0.25">
      <c r="A43" s="68" t="s">
        <v>132</v>
      </c>
      <c r="B43" s="175">
        <f>COUNTIF('SERVICE ENTRY'!$P$4:$P$1200,'Education &amp; Training Report'!A43)</f>
        <v>0</v>
      </c>
      <c r="C43" s="16"/>
      <c r="D43" s="16"/>
      <c r="E43" s="18"/>
      <c r="F43" s="18"/>
      <c r="G43" s="18"/>
      <c r="H43" s="18"/>
      <c r="I43" s="16"/>
      <c r="J43" s="16"/>
      <c r="K43" s="16"/>
    </row>
    <row r="44" spans="1:11" s="54" customFormat="1" ht="28.5" customHeight="1" x14ac:dyDescent="0.25">
      <c r="A44" s="68" t="s">
        <v>122</v>
      </c>
      <c r="B44" s="218">
        <f>COUNTIF('SERVICE ENTRY'!$P$4:$P$1200,'Education &amp; Training Report'!A44)</f>
        <v>0</v>
      </c>
      <c r="C44" s="16"/>
      <c r="D44" s="16"/>
      <c r="E44" s="18"/>
      <c r="F44" s="18"/>
      <c r="G44" s="18"/>
      <c r="H44" s="18"/>
      <c r="I44" s="16"/>
      <c r="J44" s="16"/>
      <c r="K44" s="16"/>
    </row>
    <row r="45" spans="1:11" s="54" customFormat="1" ht="14.25" customHeight="1" x14ac:dyDescent="0.25">
      <c r="A45" s="52"/>
      <c r="B45" s="51"/>
      <c r="C45" s="16"/>
      <c r="D45" s="16"/>
      <c r="E45" s="18"/>
      <c r="F45" s="18"/>
      <c r="G45" s="18"/>
      <c r="H45" s="18"/>
      <c r="I45" s="16"/>
      <c r="J45" s="16"/>
      <c r="K45" s="16"/>
    </row>
    <row r="46" spans="1:11" s="54" customFormat="1" x14ac:dyDescent="0.2">
      <c r="A46" s="16"/>
      <c r="B46" s="16"/>
      <c r="C46" s="16"/>
      <c r="D46" s="16"/>
      <c r="E46" s="18"/>
      <c r="F46" s="18"/>
      <c r="G46" s="18"/>
      <c r="H46" s="18"/>
      <c r="I46" s="16"/>
      <c r="J46" s="16"/>
      <c r="K46" s="16"/>
    </row>
    <row r="47" spans="1:11" ht="14.25" customHeight="1" x14ac:dyDescent="0.2">
      <c r="A47" s="393" t="s">
        <v>350</v>
      </c>
      <c r="B47" s="394"/>
      <c r="C47" s="394"/>
      <c r="D47" s="394"/>
      <c r="E47" s="394"/>
      <c r="F47" s="394"/>
      <c r="G47" s="394"/>
      <c r="H47" s="394"/>
      <c r="I47" s="394"/>
      <c r="J47" s="394"/>
      <c r="K47" s="394"/>
    </row>
    <row r="48" spans="1:11" ht="47.25" customHeight="1" x14ac:dyDescent="0.2">
      <c r="A48" s="296"/>
      <c r="B48" s="297"/>
      <c r="C48" s="297"/>
      <c r="D48" s="297"/>
      <c r="E48" s="297"/>
      <c r="F48" s="297"/>
      <c r="G48" s="297"/>
      <c r="H48" s="297"/>
      <c r="I48" s="297"/>
      <c r="J48" s="297"/>
      <c r="K48" s="297"/>
    </row>
    <row r="49" spans="1:13" ht="60.75" customHeight="1" x14ac:dyDescent="0.2">
      <c r="A49" s="24" t="s">
        <v>349</v>
      </c>
      <c r="B49" s="24" t="s">
        <v>377</v>
      </c>
      <c r="C49" s="24" t="s">
        <v>265</v>
      </c>
      <c r="D49" s="24" t="s">
        <v>294</v>
      </c>
      <c r="E49" s="24" t="s">
        <v>295</v>
      </c>
      <c r="F49" s="24" t="s">
        <v>296</v>
      </c>
      <c r="G49" s="24" t="s">
        <v>297</v>
      </c>
      <c r="H49" s="24" t="s">
        <v>298</v>
      </c>
      <c r="I49" s="24" t="s">
        <v>299</v>
      </c>
      <c r="J49" s="24" t="s">
        <v>301</v>
      </c>
      <c r="K49" s="24" t="s">
        <v>300</v>
      </c>
      <c r="L49" s="395"/>
      <c r="M49" s="396"/>
    </row>
    <row r="50" spans="1:13" ht="46.5" customHeight="1" x14ac:dyDescent="0.25">
      <c r="A50" s="68" t="s">
        <v>133</v>
      </c>
      <c r="B50" s="42">
        <f>COUNTIF('SERVICE ENTRY'!$Q$4:$Q$1200,'Education &amp; Training Report'!A50)</f>
        <v>0</v>
      </c>
      <c r="C50" s="42">
        <f>SUMIF('SERVICE ENTRY'!$Q$4:$Q$1200,'Education &amp; Training Report'!A50,'SERVICE ENTRY'!$R$4:$R$1200)+SUMIF('SERVICE ENTRY'!$Q$4:$Q$1200,'Education &amp; Training Report'!A50,'SERVICE ENTRY'!$S$4:$S$1200)+SUMIF('SERVICE ENTRY'!$Q$4:$Q$1200,'Education &amp; Training Report'!A50,'SERVICE ENTRY'!$T$4:$T$1200)+SUMIF('SERVICE ENTRY'!$Q$4:$Q$1200,'Education &amp; Training Report'!A50,'SERVICE ENTRY'!$U$4:$U$1200)+SUMIF('SERVICE ENTRY'!$Q$4:$Q$1200,'Education &amp; Training Report'!A50,'SERVICE ENTRY'!$V$4:$V$1200)+SUMIF('SERVICE ENTRY'!$Q$4:$Q$1200,'Education &amp; Training Report'!A50,'SERVICE ENTRY'!$W$4:$W$1200)+SUMIF('SERVICE ENTRY'!$Q$4:$Q$1200,'Education &amp; Training Report'!A50,'SERVICE ENTRY'!$X$4:$X$1200)+SUMIF('SERVICE ENTRY'!$Q$4:$Q$1200,'Education &amp; Training Report'!A50,'SERVICE ENTRY'!$Y$4:$Y$1200)</f>
        <v>0</v>
      </c>
      <c r="D50" s="42">
        <f>SUMIFS('SERVICE ENTRY'!$R$4:$R$1200,'SERVICE ENTRY'!$Q$4:$Q$1200,'Education &amp; Training Report'!A50)</f>
        <v>0</v>
      </c>
      <c r="E50" s="42">
        <f>SUMIFS('SERVICE ENTRY'!$S$4:$S$1200,'SERVICE ENTRY'!$Q$4:$Q$1200,'Education &amp; Training Report'!A50)</f>
        <v>0</v>
      </c>
      <c r="F50" s="42">
        <f>SUMIFS('SERVICE ENTRY'!$T$4:$T$1200,'SERVICE ENTRY'!$Q$4:$Q$1200,'Education &amp; Training Report'!A50)</f>
        <v>0</v>
      </c>
      <c r="G50" s="42">
        <f>SUMIFS('SERVICE ENTRY'!$U$4:$U$1200,'SERVICE ENTRY'!$Q$4:$Q$1200,'Education &amp; Training Report'!A50)</f>
        <v>0</v>
      </c>
      <c r="H50" s="42">
        <f>SUMIFS('SERVICE ENTRY'!$V$4:$V$1200,'SERVICE ENTRY'!$Q$4:$Q$1200,'Education &amp; Training Report'!A50)</f>
        <v>0</v>
      </c>
      <c r="I50" s="42">
        <f>SUMIFS('SERVICE ENTRY'!$W$4:$W$1200,'SERVICE ENTRY'!$Q$4:$Q$1200,'Education &amp; Training Report'!A50)</f>
        <v>0</v>
      </c>
      <c r="J50" s="42">
        <f>SUMIFS('SERVICE ENTRY'!$X$4:$X$1200,'SERVICE ENTRY'!$Q$4:$Q$1200,'Education &amp; Training Report'!A50)</f>
        <v>0</v>
      </c>
      <c r="K50" s="42">
        <f>SUMIFS('SERVICE ENTRY'!$Y$4:$Y$1200,'SERVICE ENTRY'!$Q$4:$Q$1200,'Education &amp; Training Report'!A50)</f>
        <v>0</v>
      </c>
    </row>
    <row r="51" spans="1:13" ht="32.25" customHeight="1" thickBot="1" x14ac:dyDescent="0.3">
      <c r="A51" s="68" t="s">
        <v>134</v>
      </c>
      <c r="B51" s="98">
        <f>COUNTIF('SERVICE ENTRY'!$Q$4:$Q$1200,'Education &amp; Training Report'!A51)</f>
        <v>0</v>
      </c>
      <c r="C51" s="98">
        <f>SUMIF('SERVICE ENTRY'!$Q$4:$Q$1200,'Education &amp; Training Report'!A51,'SERVICE ENTRY'!$R$4:$R$1200)+SUMIF('SERVICE ENTRY'!$Q$4:$Q$1200,'Education &amp; Training Report'!A51,'SERVICE ENTRY'!$S$4:$S$1200)+SUMIF('SERVICE ENTRY'!$Q$4:$Q$1200,'Education &amp; Training Report'!A51,'SERVICE ENTRY'!$T$4:$T$1200)+SUMIF('SERVICE ENTRY'!$Q$4:$Q$1200,'Education &amp; Training Report'!A51,'SERVICE ENTRY'!$U$4:$U$1200)+SUMIF('SERVICE ENTRY'!$Q$4:$Q$1200,'Education &amp; Training Report'!A51,'SERVICE ENTRY'!$V$4:$V$1200)+SUMIF('SERVICE ENTRY'!$Q$4:$Q$1200,'Education &amp; Training Report'!A51,'SERVICE ENTRY'!$W$4:$W$1200)+SUMIF('SERVICE ENTRY'!$Q$4:$Q$1200,'Education &amp; Training Report'!A51,'SERVICE ENTRY'!$X$4:$X$1200)+SUMIF('SERVICE ENTRY'!$Q$4:$Q$1200,'Education &amp; Training Report'!A51,'SERVICE ENTRY'!$Y$4:$Y$1200)</f>
        <v>0</v>
      </c>
      <c r="D51" s="98">
        <f>SUMIFS('SERVICE ENTRY'!$R$4:$R$1200,'SERVICE ENTRY'!$Q$4:$Q$1200,'Education &amp; Training Report'!A51)</f>
        <v>0</v>
      </c>
      <c r="E51" s="98">
        <f>SUMIFS('SERVICE ENTRY'!$S$4:$S$1200,'SERVICE ENTRY'!$Q$4:$Q$1200,'Education &amp; Training Report'!A51)</f>
        <v>0</v>
      </c>
      <c r="F51" s="98">
        <f>SUMIFS('SERVICE ENTRY'!$T$4:$T$1200,'SERVICE ENTRY'!$Q$4:$Q$1200,'Education &amp; Training Report'!A51)</f>
        <v>0</v>
      </c>
      <c r="G51" s="98">
        <f>SUMIFS('SERVICE ENTRY'!$U$4:$U$1200,'SERVICE ENTRY'!$Q$4:$Q$1200,'Education &amp; Training Report'!A51)</f>
        <v>0</v>
      </c>
      <c r="H51" s="98">
        <f>SUMIFS('SERVICE ENTRY'!$V$4:$V$1200,'SERVICE ENTRY'!$Q$4:$Q$1200,'Education &amp; Training Report'!A51)</f>
        <v>0</v>
      </c>
      <c r="I51" s="98">
        <f>SUMIFS('SERVICE ENTRY'!$W$4:$W$1200,'SERVICE ENTRY'!$Q$4:$Q$1200,'Education &amp; Training Report'!A51)</f>
        <v>0</v>
      </c>
      <c r="J51" s="98">
        <f>SUMIFS('SERVICE ENTRY'!$X$4:$X$1200,'SERVICE ENTRY'!$Q$4:$Q$1200,'Education &amp; Training Report'!A51)</f>
        <v>0</v>
      </c>
      <c r="K51" s="98">
        <f>SUMIFS('SERVICE ENTRY'!$Y$4:$Y$1200,'SERVICE ENTRY'!$Q$4:$Q$1200,'Education &amp; Training Report'!A51)</f>
        <v>0</v>
      </c>
    </row>
    <row r="52" spans="1:13" ht="31.5" customHeight="1" x14ac:dyDescent="0.25">
      <c r="A52" s="69" t="s">
        <v>269</v>
      </c>
      <c r="B52" s="97">
        <f>SUM(B50:B51)</f>
        <v>0</v>
      </c>
      <c r="C52" s="97">
        <f t="shared" ref="C52:K52" si="0">SUM(C50:C51)</f>
        <v>0</v>
      </c>
      <c r="D52" s="97">
        <f t="shared" si="0"/>
        <v>0</v>
      </c>
      <c r="E52" s="97">
        <f t="shared" si="0"/>
        <v>0</v>
      </c>
      <c r="F52" s="97">
        <f t="shared" si="0"/>
        <v>0</v>
      </c>
      <c r="G52" s="97">
        <f t="shared" si="0"/>
        <v>0</v>
      </c>
      <c r="H52" s="97">
        <f t="shared" si="0"/>
        <v>0</v>
      </c>
      <c r="I52" s="97">
        <f t="shared" si="0"/>
        <v>0</v>
      </c>
      <c r="J52" s="97">
        <f t="shared" si="0"/>
        <v>0</v>
      </c>
      <c r="K52" s="97">
        <f t="shared" si="0"/>
        <v>0</v>
      </c>
    </row>
  </sheetData>
  <sheetProtection algorithmName="SHA-512" hashValue="WPLMOeM+tRrVB7wvOR1TtiaTjfTXE2vrR5rdwRzjpK+8afaOLLjsiTnlX8ROv+ES27go8NlcimBOKDybO2h0uA==" saltValue="CKzo7vK1tP0A/TIpLMi1Vg==" spinCount="100000" sheet="1" objects="1" scenarios="1"/>
  <mergeCells count="3">
    <mergeCell ref="A1:B2"/>
    <mergeCell ref="A47:K48"/>
    <mergeCell ref="L49:M49"/>
  </mergeCells>
  <dataValidations count="3">
    <dataValidation type="list" allowBlank="1" showInputMessage="1" showErrorMessage="1" sqref="A15">
      <formula1>"Breast self-awareness, Available breast health services and resources, Clinical trials, Treatment, Survivorship and quality of life, Metastatic breast cancer, Other"</formula1>
    </dataValidation>
    <dataValidation type="list" allowBlank="1" showInputMessage="1" showErrorMessage="1" sqref="A50:A51">
      <formula1>"One-on-one training, Group training"</formula1>
    </dataValidation>
    <dataValidation type="list" allowBlank="1" showInputMessage="1" showErrorMessage="1" sqref="A4">
      <formula1>"One-on-one session, Group session, Part of Group session listed above"</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39997558519241921"/>
  </sheetPr>
  <dimension ref="A1:T47"/>
  <sheetViews>
    <sheetView topLeftCell="A10" zoomScale="70" zoomScaleNormal="70" workbookViewId="0">
      <selection activeCell="G38" sqref="G38"/>
    </sheetView>
  </sheetViews>
  <sheetFormatPr defaultRowHeight="14.25" x14ac:dyDescent="0.2"/>
  <cols>
    <col min="1" max="2" width="32.28515625" style="15" customWidth="1"/>
    <col min="3" max="9" width="26.7109375" style="15" customWidth="1"/>
    <col min="10" max="10" width="23" style="15" customWidth="1"/>
    <col min="11" max="14" width="26.7109375" style="15" customWidth="1"/>
    <col min="15" max="16" width="25.28515625" style="15" customWidth="1"/>
    <col min="17" max="18" width="25.140625" style="15" customWidth="1"/>
    <col min="19" max="19" width="24.5703125" style="17" customWidth="1"/>
    <col min="20" max="20" width="24.5703125" style="16" customWidth="1"/>
    <col min="21" max="16384" width="9.140625" style="3"/>
  </cols>
  <sheetData>
    <row r="1" spans="1:20" s="58" customFormat="1" ht="29.25" customHeight="1" x14ac:dyDescent="0.2">
      <c r="A1" s="399" t="s">
        <v>245</v>
      </c>
      <c r="B1" s="399"/>
      <c r="C1" s="399"/>
      <c r="D1" s="399"/>
      <c r="E1" s="399"/>
      <c r="F1" s="399"/>
      <c r="G1" s="399"/>
      <c r="H1" s="399"/>
      <c r="I1" s="399"/>
      <c r="J1" s="399"/>
      <c r="K1" s="399"/>
      <c r="L1" s="57"/>
      <c r="M1" s="57"/>
      <c r="N1" s="57"/>
      <c r="O1" s="57"/>
      <c r="P1" s="57"/>
      <c r="Q1" s="57"/>
      <c r="R1" s="57"/>
      <c r="S1" s="57"/>
      <c r="T1" s="57"/>
    </row>
    <row r="2" spans="1:20" ht="37.5" customHeight="1" x14ac:dyDescent="0.2">
      <c r="A2" s="397" t="s">
        <v>56</v>
      </c>
      <c r="B2" s="398"/>
      <c r="C2" s="398"/>
      <c r="D2" s="398"/>
      <c r="E2" s="398"/>
      <c r="F2" s="398"/>
      <c r="G2" s="398"/>
      <c r="H2" s="398"/>
      <c r="I2" s="398"/>
      <c r="J2" s="398"/>
      <c r="K2" s="398"/>
      <c r="L2" s="3"/>
      <c r="M2" s="3"/>
      <c r="N2" s="3"/>
      <c r="O2" s="3"/>
      <c r="P2" s="3"/>
      <c r="Q2" s="3"/>
      <c r="R2" s="3"/>
      <c r="S2" s="3"/>
      <c r="T2" s="3"/>
    </row>
    <row r="3" spans="1:20" ht="37.5" customHeight="1" x14ac:dyDescent="0.2">
      <c r="A3" s="132" t="s">
        <v>255</v>
      </c>
      <c r="B3" s="59" t="s">
        <v>254</v>
      </c>
      <c r="L3" s="3"/>
      <c r="M3" s="3"/>
      <c r="N3" s="3"/>
      <c r="O3" s="3"/>
      <c r="P3" s="3"/>
      <c r="Q3" s="3"/>
      <c r="R3" s="3"/>
      <c r="S3" s="3"/>
      <c r="T3" s="3"/>
    </row>
    <row r="4" spans="1:20" ht="75.75" customHeight="1" x14ac:dyDescent="0.2">
      <c r="A4" s="25" t="s">
        <v>61</v>
      </c>
      <c r="B4" s="25" t="s">
        <v>164</v>
      </c>
      <c r="C4" s="3"/>
      <c r="D4" s="3"/>
      <c r="E4" s="3"/>
      <c r="F4" s="3"/>
      <c r="G4" s="3"/>
      <c r="H4" s="3"/>
      <c r="I4" s="3"/>
      <c r="J4" s="3"/>
      <c r="K4" s="3"/>
      <c r="L4" s="3"/>
      <c r="M4" s="3"/>
      <c r="N4" s="3"/>
      <c r="O4" s="3"/>
      <c r="P4" s="3"/>
      <c r="Q4" s="3"/>
      <c r="R4" s="3"/>
      <c r="S4" s="3"/>
      <c r="T4" s="3"/>
    </row>
    <row r="5" spans="1:20" s="54" customFormat="1" ht="20.25" customHeight="1" x14ac:dyDescent="0.25">
      <c r="A5" s="133" t="s">
        <v>62</v>
      </c>
      <c r="B5" s="42">
        <f>COUNTIF('SERVICE ENTRY'!$Z$4:$Z$1200,'Screening Services Report'!A5)</f>
        <v>0</v>
      </c>
    </row>
    <row r="6" spans="1:20" s="54" customFormat="1" ht="18" customHeight="1" x14ac:dyDescent="0.25">
      <c r="A6" s="68" t="s">
        <v>83</v>
      </c>
      <c r="B6" s="42">
        <f>COUNTIF('SERVICE ENTRY'!$Z$4:$Z$1200,'Screening Services Report'!A6)</f>
        <v>0</v>
      </c>
    </row>
    <row r="7" spans="1:20" s="54" customFormat="1" ht="15" customHeight="1" x14ac:dyDescent="0.25">
      <c r="A7" s="68" t="s">
        <v>122</v>
      </c>
      <c r="B7" s="42">
        <f>COUNTIF('SERVICE ENTRY'!$Z$4:$Z$1200,'Screening Services Report'!A7)</f>
        <v>0</v>
      </c>
    </row>
    <row r="8" spans="1:20" s="54" customFormat="1" ht="15" x14ac:dyDescent="0.25">
      <c r="A8" s="55"/>
      <c r="B8" s="51"/>
      <c r="C8" s="58"/>
      <c r="D8" s="58"/>
      <c r="E8" s="58"/>
      <c r="F8" s="58"/>
      <c r="G8" s="58"/>
      <c r="H8" s="58"/>
      <c r="I8" s="58"/>
      <c r="J8" s="58"/>
    </row>
    <row r="9" spans="1:20" s="54" customFormat="1" x14ac:dyDescent="0.2">
      <c r="A9" s="56"/>
      <c r="B9" s="56"/>
      <c r="C9" s="58"/>
      <c r="D9" s="58"/>
      <c r="E9" s="56"/>
      <c r="F9" s="56"/>
      <c r="G9" s="56"/>
      <c r="H9" s="56"/>
      <c r="I9" s="56"/>
      <c r="J9" s="56"/>
      <c r="K9" s="16"/>
      <c r="L9" s="16"/>
    </row>
    <row r="10" spans="1:20" s="54" customFormat="1" ht="45" x14ac:dyDescent="0.2">
      <c r="A10" s="9" t="s">
        <v>60</v>
      </c>
      <c r="B10" s="9" t="s">
        <v>165</v>
      </c>
      <c r="C10" s="16"/>
      <c r="D10" s="16"/>
    </row>
    <row r="11" spans="1:20" s="54" customFormat="1" ht="15" x14ac:dyDescent="0.25">
      <c r="A11" s="68" t="s">
        <v>195</v>
      </c>
      <c r="B11" s="42">
        <f>COUNTIF('SERVICE ENTRY'!$AA$4:$AA$1200,'Screening Services Report'!A11)</f>
        <v>0</v>
      </c>
      <c r="C11" s="16"/>
      <c r="D11" s="16"/>
    </row>
    <row r="12" spans="1:20" s="54" customFormat="1" ht="15" x14ac:dyDescent="0.25">
      <c r="A12" s="68" t="s">
        <v>196</v>
      </c>
      <c r="B12" s="42">
        <f>COUNTIF('SERVICE ENTRY'!$AA$4:$AA$1200,'Screening Services Report'!A12)</f>
        <v>0</v>
      </c>
      <c r="C12" s="16"/>
      <c r="D12" s="16"/>
    </row>
    <row r="13" spans="1:20" s="54" customFormat="1" ht="15" x14ac:dyDescent="0.25">
      <c r="A13" s="68" t="s">
        <v>135</v>
      </c>
      <c r="B13" s="42">
        <f>COUNTIF('SERVICE ENTRY'!$AA$4:$AA$1200,'Screening Services Report'!A13)</f>
        <v>0</v>
      </c>
      <c r="C13" s="16"/>
      <c r="D13" s="16"/>
    </row>
    <row r="14" spans="1:20" s="54" customFormat="1" ht="15.75" thickBot="1" x14ac:dyDescent="0.3">
      <c r="A14" s="113" t="s">
        <v>136</v>
      </c>
      <c r="B14" s="98">
        <f>COUNTIF('SERVICE ENTRY'!$AA$4:$AA$1200,'Screening Services Report'!A14)</f>
        <v>0</v>
      </c>
      <c r="C14" s="16"/>
      <c r="D14" s="16"/>
      <c r="E14" s="16"/>
      <c r="F14" s="16"/>
      <c r="G14" s="16"/>
      <c r="H14" s="16"/>
      <c r="I14" s="16"/>
      <c r="J14" s="16"/>
      <c r="K14" s="16"/>
      <c r="L14" s="16"/>
      <c r="M14" s="16"/>
    </row>
    <row r="15" spans="1:20" s="54" customFormat="1" ht="15.75" thickBot="1" x14ac:dyDescent="0.3">
      <c r="A15" s="231" t="s">
        <v>269</v>
      </c>
      <c r="B15" s="226">
        <f>SUM(B11:B14)</f>
        <v>0</v>
      </c>
      <c r="C15" s="16"/>
      <c r="D15" s="16"/>
      <c r="E15" s="16"/>
      <c r="F15" s="16"/>
      <c r="G15" s="16"/>
      <c r="H15" s="16"/>
      <c r="I15" s="16"/>
      <c r="J15" s="16"/>
      <c r="K15" s="16"/>
      <c r="L15" s="16"/>
      <c r="M15" s="16"/>
    </row>
    <row r="16" spans="1:20" s="54" customFormat="1" ht="15" x14ac:dyDescent="0.25">
      <c r="A16" s="55"/>
      <c r="B16" s="51"/>
      <c r="C16" s="56"/>
      <c r="D16" s="56"/>
      <c r="E16" s="56"/>
      <c r="F16" s="56"/>
      <c r="G16" s="56"/>
      <c r="H16" s="56"/>
      <c r="I16" s="56"/>
      <c r="J16" s="16"/>
      <c r="K16" s="16"/>
      <c r="L16" s="53"/>
      <c r="M16" s="16"/>
      <c r="N16" s="16"/>
      <c r="O16" s="16"/>
      <c r="P16" s="16"/>
      <c r="Q16" s="16"/>
      <c r="R16" s="16"/>
      <c r="S16" s="16"/>
    </row>
    <row r="17" spans="1:20" s="54" customFormat="1" ht="15" x14ac:dyDescent="0.25">
      <c r="A17" s="55"/>
      <c r="B17" s="51"/>
      <c r="C17" s="56"/>
      <c r="D17" s="56"/>
      <c r="E17" s="56"/>
      <c r="F17" s="56"/>
      <c r="G17" s="56"/>
      <c r="H17" s="56"/>
      <c r="I17" s="56"/>
      <c r="J17" s="16"/>
      <c r="K17" s="16"/>
      <c r="L17" s="53"/>
      <c r="M17" s="16"/>
      <c r="N17" s="16"/>
      <c r="O17" s="16"/>
      <c r="P17" s="16"/>
      <c r="Q17" s="16"/>
      <c r="R17" s="16"/>
      <c r="S17" s="16"/>
    </row>
    <row r="18" spans="1:20" s="54" customFormat="1" ht="39.75" customHeight="1" x14ac:dyDescent="0.25">
      <c r="A18" s="96" t="s">
        <v>255</v>
      </c>
      <c r="B18" s="96" t="s">
        <v>254</v>
      </c>
      <c r="C18" s="401" t="s">
        <v>326</v>
      </c>
      <c r="D18" s="402"/>
      <c r="E18" s="402"/>
      <c r="F18" s="402"/>
      <c r="G18" s="402"/>
      <c r="H18" s="402"/>
      <c r="I18" s="403"/>
      <c r="J18" s="400" t="s">
        <v>327</v>
      </c>
      <c r="K18" s="400"/>
      <c r="L18" s="400"/>
      <c r="M18" s="53"/>
      <c r="N18" s="16"/>
      <c r="O18" s="16"/>
      <c r="P18" s="16"/>
      <c r="Q18" s="16"/>
      <c r="R18" s="16"/>
      <c r="S18" s="16"/>
      <c r="T18" s="16"/>
    </row>
    <row r="19" spans="1:20" s="54" customFormat="1" ht="66" customHeight="1" x14ac:dyDescent="0.2">
      <c r="A19" s="9" t="s">
        <v>222</v>
      </c>
      <c r="B19" s="108" t="s">
        <v>238</v>
      </c>
      <c r="C19" s="9" t="s">
        <v>250</v>
      </c>
      <c r="D19" s="9" t="s">
        <v>251</v>
      </c>
      <c r="E19" s="9" t="s">
        <v>246</v>
      </c>
      <c r="F19" s="9" t="s">
        <v>373</v>
      </c>
      <c r="G19" s="9" t="s">
        <v>252</v>
      </c>
      <c r="H19" s="9" t="s">
        <v>248</v>
      </c>
      <c r="I19" s="199" t="s">
        <v>388</v>
      </c>
      <c r="J19" s="101" t="s">
        <v>247</v>
      </c>
      <c r="K19" s="9" t="s">
        <v>324</v>
      </c>
      <c r="L19" s="9" t="s">
        <v>388</v>
      </c>
      <c r="M19" s="16"/>
      <c r="N19" s="16"/>
      <c r="O19" s="16"/>
      <c r="P19" s="16"/>
      <c r="Q19" s="16"/>
      <c r="R19" s="16"/>
      <c r="S19" s="16"/>
    </row>
    <row r="20" spans="1:20" s="54" customFormat="1" ht="15" x14ac:dyDescent="0.25">
      <c r="A20" s="68" t="s">
        <v>204</v>
      </c>
      <c r="B20" s="106">
        <f>COUNTIF('SERVICE ENTRY'!$AB$4:$AB$1200,'Screening Services Report'!A20)</f>
        <v>0</v>
      </c>
      <c r="C20" s="92">
        <f>COUNTIFS('SERVICE ENTRY'!$AB$4:$AB$1200,A20,'SERVICE ENTRY'!$G$4:$G$1200,"American Indian or Alaska Native")</f>
        <v>0</v>
      </c>
      <c r="D20" s="42">
        <f>COUNTIFS('SERVICE ENTRY'!$AB$4:$AB$1200,$A20,'SERVICE ENTRY'!$G$4:$G$1200,"Asian")</f>
        <v>0</v>
      </c>
      <c r="E20" s="42">
        <f>COUNTIFS('SERVICE ENTRY'!$AB$4:$AB$1200,$A20,'SERVICE ENTRY'!$G$4:$G$1200,"Black/African-American")</f>
        <v>0</v>
      </c>
      <c r="F20" s="42">
        <f>COUNTIFS('SERVICE ENTRY'!$AB$4:$AB$1200,$A20,'SERVICE ENTRY'!$G$4:$G$1200,"Middle Eastern or North African")</f>
        <v>0</v>
      </c>
      <c r="G20" s="42">
        <f>COUNTIFS('SERVICE ENTRY'!$AB$4:$AB$1200,$A20,'SERVICE ENTRY'!$G$4:$G$1200,"Native Hawaiian or Pacific Islander")</f>
        <v>0</v>
      </c>
      <c r="H20" s="100">
        <f>COUNTIFS('SERVICE ENTRY'!$AB$4:$AB$1200,$A20,'SERVICE ENTRY'!$G$4:$G$1200,"White")</f>
        <v>0</v>
      </c>
      <c r="I20" s="100">
        <f>COUNTIFS('SERVICE ENTRY'!$AB$4:$AB$1200,$A20,'SERVICE ENTRY'!$G$4:$G$1200,"Unknown or Other")</f>
        <v>0</v>
      </c>
      <c r="J20" s="102">
        <f>COUNTIFS('SERVICE ENTRY'!$AB$4:$AB$1200,$A20,'SERVICE ENTRY'!$F$4:$F$1200,"Colombian")+COUNTIFS('SERVICE ENTRY'!$AB$4:$AB$1200,A20,'SERVICE ENTRY'!$F$4:$F$1200,"Cuban")+COUNTIFS('SERVICE ENTRY'!$AB$4:$AB$1200,A20,'SERVICE ENTRY'!$F$4:$F$1200,"Dominican")+COUNTIFS('SERVICE ENTRY'!$AB$4:$AB$1200,A20,'SERVICE ENTRY'!$F$4:$F$1200,"Mexican/Mexican-American/Chicano")+COUNTIFS('SERVICE ENTRY'!$AB$4:$AB$1200,A20,'SERVICE ENTRY'!$F$4:$F$1200,"Puerto Rican")+COUNTIFS('SERVICE ENTRY'!$AB$4:$AB$1200,A20,'SERVICE ENTRY'!$F$4:$F$1200,"Salvadoran")+COUNTIFS('SERVICE ENTRY'!$AB$4:$AB$1200,A20,'SERVICE ENTRY'!$F$4:$F$1200,"Other Hispanic/Latino/Spanish origin")</f>
        <v>0</v>
      </c>
      <c r="K20" s="42">
        <f>COUNTIFS('SERVICE ENTRY'!$AB$4:$AB$1200,$A20,'SERVICE ENTRY'!$F$4:$F$1200,"Not of Hispanic/Latino/Spanish origin")</f>
        <v>0</v>
      </c>
      <c r="L20" s="42">
        <f>COUNTIFS('SERVICE ENTRY'!$AB$4:$AB$1200,$A20,'SERVICE ENTRY'!$F$4:$F$1200,"Unknown or Other")</f>
        <v>0</v>
      </c>
      <c r="M20" s="16"/>
      <c r="N20" s="16"/>
      <c r="O20" s="16"/>
      <c r="P20" s="16"/>
      <c r="Q20" s="16"/>
      <c r="R20" s="16"/>
      <c r="S20" s="16"/>
    </row>
    <row r="21" spans="1:20" s="54" customFormat="1" ht="15" x14ac:dyDescent="0.25">
      <c r="A21" s="68" t="s">
        <v>205</v>
      </c>
      <c r="B21" s="106">
        <f>COUNTIF('SERVICE ENTRY'!$AB$4:$AB$1200,'Screening Services Report'!A21)</f>
        <v>0</v>
      </c>
      <c r="C21" s="92">
        <f>COUNTIFS('SERVICE ENTRY'!$AB$4:$AB$1200,A21,'SERVICE ENTRY'!$G$4:$G$1200,"American Indian or Alaska Native")</f>
        <v>0</v>
      </c>
      <c r="D21" s="42">
        <f>COUNTIFS('SERVICE ENTRY'!$AB$4:$AB$1200,$A21,'SERVICE ENTRY'!$G$4:$G$1200,"Asian")</f>
        <v>0</v>
      </c>
      <c r="E21" s="42">
        <f>COUNTIFS('SERVICE ENTRY'!$AB$4:$AB$1200,$A21,'SERVICE ENTRY'!$G$4:$G$1200,"Black/African-American")</f>
        <v>0</v>
      </c>
      <c r="F21" s="42">
        <f>COUNTIFS('SERVICE ENTRY'!$AB$4:$AB$1200,$A21,'SERVICE ENTRY'!$G$4:$G$1200,"Middle Eastern or North African")</f>
        <v>0</v>
      </c>
      <c r="G21" s="42">
        <f>COUNTIFS('SERVICE ENTRY'!$AB$4:$AB$1200,$A21,'SERVICE ENTRY'!$G$4:$G$1200,"Native Hawaiian or Pacific Islander")</f>
        <v>0</v>
      </c>
      <c r="H21" s="100">
        <f>COUNTIFS('SERVICE ENTRY'!$AB$4:$AB$1200,$A21,'SERVICE ENTRY'!$G$4:$G$1200,"White")</f>
        <v>0</v>
      </c>
      <c r="I21" s="100">
        <f>COUNTIFS('SERVICE ENTRY'!$AB$4:$AB$1200,$A21,'SERVICE ENTRY'!$G$4:$G$1200,"Unknown or Other")</f>
        <v>0</v>
      </c>
      <c r="J21" s="102">
        <f>COUNTIFS('SERVICE ENTRY'!$AB$4:$AB$1200,$A21,'SERVICE ENTRY'!$F$4:$F$1200,"Colombian")+COUNTIFS('SERVICE ENTRY'!$AB$4:$AB$1200,A21,'SERVICE ENTRY'!$F$4:$F$1200,"Cuban")+COUNTIFS('SERVICE ENTRY'!$AB$4:$AB$1200,A21,'SERVICE ENTRY'!$F$4:$F$1200,"Dominican")+COUNTIFS('SERVICE ENTRY'!$AB$4:$AB$1200,A21,'SERVICE ENTRY'!$F$4:$F$1200,"Mexican/Mexican-American/Chicano")+COUNTIFS('SERVICE ENTRY'!$AB$4:$AB$1200,A21,'SERVICE ENTRY'!$F$4:$F$1200,"Puerto Rican")+COUNTIFS('SERVICE ENTRY'!$AB$4:$AB$1200,A21,'SERVICE ENTRY'!$F$4:$F$1200,"Salvadoran")+COUNTIFS('SERVICE ENTRY'!$AB$4:$AB$1200,A21,'SERVICE ENTRY'!$F$4:$F$1200,"Other Hispanic/Latino/Spanish origin")</f>
        <v>0</v>
      </c>
      <c r="K21" s="42">
        <f>COUNTIFS('SERVICE ENTRY'!$AB$4:$AB$1200,$A21,'SERVICE ENTRY'!$F$4:$F$1200,"Not of Hispanic/Latino/Spanish origin")</f>
        <v>0</v>
      </c>
      <c r="L21" s="42">
        <f>COUNTIFS('SERVICE ENTRY'!$AB$4:$AB$1200,$A21,'SERVICE ENTRY'!$F$4:$F$1200,"Unknown or Other")</f>
        <v>0</v>
      </c>
      <c r="M21" s="16"/>
      <c r="N21" s="16"/>
      <c r="O21" s="16"/>
      <c r="P21" s="16"/>
      <c r="Q21" s="16"/>
      <c r="R21" s="16"/>
      <c r="S21" s="16"/>
    </row>
    <row r="22" spans="1:20" s="54" customFormat="1" ht="15" x14ac:dyDescent="0.25">
      <c r="A22" s="68" t="s">
        <v>206</v>
      </c>
      <c r="B22" s="106">
        <f>COUNTIF('SERVICE ENTRY'!$AB$4:$AB$1200,'Screening Services Report'!A22)</f>
        <v>0</v>
      </c>
      <c r="C22" s="92">
        <f>COUNTIFS('SERVICE ENTRY'!$AB$4:$AB$1200,A22,'SERVICE ENTRY'!$G$4:$G$1200,"American Indian or Alaska Native")</f>
        <v>0</v>
      </c>
      <c r="D22" s="42">
        <f>COUNTIFS('SERVICE ENTRY'!$AB$4:$AB$1200,$A22,'SERVICE ENTRY'!$G$4:$G$1200,"Asian")</f>
        <v>0</v>
      </c>
      <c r="E22" s="42">
        <f>COUNTIFS('SERVICE ENTRY'!$AB$4:$AB$1200,$A22,'SERVICE ENTRY'!$G$4:$G$1200,"Black/African-American")</f>
        <v>0</v>
      </c>
      <c r="F22" s="42">
        <f>COUNTIFS('SERVICE ENTRY'!$AB$4:$AB$1200,$A22,'SERVICE ENTRY'!$G$4:$G$1200,"Middle Eastern or North African")</f>
        <v>0</v>
      </c>
      <c r="G22" s="42">
        <f>COUNTIFS('SERVICE ENTRY'!$AB$4:$AB$1200,$A22,'SERVICE ENTRY'!$G$4:$G$1200,"Native Hawaiian or Pacific Islander")</f>
        <v>0</v>
      </c>
      <c r="H22" s="100">
        <f>COUNTIFS('SERVICE ENTRY'!$AB$4:$AB$1200,$A22,'SERVICE ENTRY'!$G$4:$G$1200,"White")</f>
        <v>0</v>
      </c>
      <c r="I22" s="100">
        <f>COUNTIFS('SERVICE ENTRY'!$AB$4:$AB$1200,$A22,'SERVICE ENTRY'!$G$4:$G$1200,"Unknown or Other")</f>
        <v>0</v>
      </c>
      <c r="J22" s="102">
        <f>COUNTIFS('SERVICE ENTRY'!$AB$4:$AB$1200,$A22,'SERVICE ENTRY'!$F$4:$F$1200,"Colombian")+COUNTIFS('SERVICE ENTRY'!$AB$4:$AB$1200,A22,'SERVICE ENTRY'!$F$4:$F$1200,"Cuban")+COUNTIFS('SERVICE ENTRY'!$AB$4:$AB$1200,A22,'SERVICE ENTRY'!$F$4:$F$1200,"Dominican")+COUNTIFS('SERVICE ENTRY'!$AB$4:$AB$1200,A22,'SERVICE ENTRY'!$F$4:$F$1200,"Mexican/Mexican-American/Chicano")+COUNTIFS('SERVICE ENTRY'!$AB$4:$AB$1200,A22,'SERVICE ENTRY'!$F$4:$F$1200,"Puerto Rican")+COUNTIFS('SERVICE ENTRY'!$AB$4:$AB$1200,A22,'SERVICE ENTRY'!$F$4:$F$1200,"Salvadoran")+COUNTIFS('SERVICE ENTRY'!$AB$4:$AB$1200,A22,'SERVICE ENTRY'!$F$4:$F$1200,"Other Hispanic/Latino/Spanish origin")</f>
        <v>0</v>
      </c>
      <c r="K22" s="42">
        <f>COUNTIFS('SERVICE ENTRY'!$AB$4:$AB$1200,$A22,'SERVICE ENTRY'!$F$4:$F$1200,"Not of Hispanic/Latino/Spanish origin")</f>
        <v>0</v>
      </c>
      <c r="L22" s="42">
        <f>COUNTIFS('SERVICE ENTRY'!$AB$4:$AB$1200,$A22,'SERVICE ENTRY'!$F$4:$F$1200,"Unknown or Other")</f>
        <v>0</v>
      </c>
      <c r="M22" s="16"/>
      <c r="N22" s="16"/>
      <c r="O22" s="16"/>
      <c r="P22" s="16"/>
      <c r="Q22" s="16"/>
      <c r="R22" s="16"/>
      <c r="S22" s="16"/>
    </row>
    <row r="23" spans="1:20" s="54" customFormat="1" ht="15.75" thickBot="1" x14ac:dyDescent="0.3">
      <c r="A23" s="68" t="s">
        <v>207</v>
      </c>
      <c r="B23" s="106">
        <f>COUNTIF('SERVICE ENTRY'!$AB$4:$AB$1200,'Screening Services Report'!A23)</f>
        <v>0</v>
      </c>
      <c r="C23" s="92">
        <f>COUNTIFS('SERVICE ENTRY'!$AB$4:$AB$1200,A23,'SERVICE ENTRY'!$G$4:$G$1200,"American Indian or Alaska Native")</f>
        <v>0</v>
      </c>
      <c r="D23" s="42">
        <f>COUNTIFS('SERVICE ENTRY'!$AB$4:$AB$1200,$A23,'SERVICE ENTRY'!$G$4:$G$1200,"Asian")</f>
        <v>0</v>
      </c>
      <c r="E23" s="42">
        <f>COUNTIFS('SERVICE ENTRY'!$AB$4:$AB$1200,$A23,'SERVICE ENTRY'!$G$4:$G$1200,"Black/African-American")</f>
        <v>0</v>
      </c>
      <c r="F23" s="42">
        <f>COUNTIFS('SERVICE ENTRY'!$AB$4:$AB$1200,$A23,'SERVICE ENTRY'!$G$4:$G$1200,"Middle Eastern or North African")</f>
        <v>0</v>
      </c>
      <c r="G23" s="42">
        <f>COUNTIFS('SERVICE ENTRY'!$AB$4:$AB$1200,$A23,'SERVICE ENTRY'!$G$4:$G$1200,"Native Hawaiian or Pacific Islander")</f>
        <v>0</v>
      </c>
      <c r="H23" s="100">
        <f>COUNTIFS('SERVICE ENTRY'!$AB$4:$AB$1200,$A23,'SERVICE ENTRY'!$G$4:$G$1200,"White")</f>
        <v>0</v>
      </c>
      <c r="I23" s="100">
        <f>COUNTIFS('SERVICE ENTRY'!$AB$4:$AB$1200,$A23,'SERVICE ENTRY'!$G$4:$G$1200,"Unknown or Other")</f>
        <v>0</v>
      </c>
      <c r="J23" s="102">
        <f>COUNTIFS('SERVICE ENTRY'!$AB$4:$AB$1200,$A23,'SERVICE ENTRY'!$F$4:$F$1200,"Colombian")+COUNTIFS('SERVICE ENTRY'!$AB$4:$AB$1200,A23,'SERVICE ENTRY'!$F$4:$F$1200,"Cuban")+COUNTIFS('SERVICE ENTRY'!$AB$4:$AB$1200,A23,'SERVICE ENTRY'!$F$4:$F$1200,"Dominican")+COUNTIFS('SERVICE ENTRY'!$AB$4:$AB$1200,A23,'SERVICE ENTRY'!$F$4:$F$1200,"Mexican/Mexican-American/Chicano")+COUNTIFS('SERVICE ENTRY'!$AB$4:$AB$1200,A23,'SERVICE ENTRY'!$F$4:$F$1200,"Puerto Rican")+COUNTIFS('SERVICE ENTRY'!$AB$4:$AB$1200,A23,'SERVICE ENTRY'!$F$4:$F$1200,"Salvadoran")+COUNTIFS('SERVICE ENTRY'!$AB$4:$AB$1200,A23,'SERVICE ENTRY'!$F$4:$F$1200,"Other Hispanic/Latino/Spanish origin")</f>
        <v>0</v>
      </c>
      <c r="K23" s="42">
        <f>COUNTIFS('SERVICE ENTRY'!$AB$4:$AB$1200,$A23,'SERVICE ENTRY'!$F$4:$F$1200,"Not of Hispanic/Latino/Spanish origin")</f>
        <v>0</v>
      </c>
      <c r="L23" s="42">
        <f>COUNTIFS('SERVICE ENTRY'!$AB$4:$AB$1200,$A23,'SERVICE ENTRY'!$F$4:$F$1200,"Unknown or Other")</f>
        <v>0</v>
      </c>
      <c r="M23" s="16"/>
      <c r="N23" s="16"/>
      <c r="O23" s="16"/>
      <c r="P23" s="16"/>
      <c r="Q23" s="16"/>
      <c r="R23" s="16"/>
      <c r="S23" s="16"/>
    </row>
    <row r="24" spans="1:20" s="54" customFormat="1" ht="15.75" thickBot="1" x14ac:dyDescent="0.3">
      <c r="A24" s="16"/>
      <c r="B24" s="16"/>
      <c r="C24" s="369"/>
      <c r="D24" s="370"/>
      <c r="E24" s="370"/>
      <c r="F24" s="370"/>
      <c r="G24" s="370"/>
      <c r="H24" s="370"/>
      <c r="I24" s="370"/>
      <c r="J24" s="404"/>
      <c r="K24" s="405"/>
      <c r="L24" s="406"/>
      <c r="M24" s="16"/>
      <c r="N24" s="16"/>
      <c r="O24" s="16"/>
      <c r="P24" s="16"/>
      <c r="Q24" s="16"/>
      <c r="R24" s="16"/>
      <c r="S24" s="16"/>
      <c r="T24" s="16"/>
    </row>
    <row r="25" spans="1:20" s="54" customFormat="1" x14ac:dyDescent="0.2">
      <c r="A25" s="16"/>
      <c r="B25" s="16"/>
      <c r="C25" s="16"/>
      <c r="D25" s="16"/>
      <c r="E25" s="16"/>
      <c r="F25" s="16"/>
      <c r="G25" s="16"/>
      <c r="H25" s="16"/>
      <c r="I25" s="16"/>
      <c r="J25" s="16"/>
      <c r="K25" s="16"/>
      <c r="L25" s="16"/>
      <c r="M25" s="16"/>
      <c r="N25" s="16"/>
      <c r="O25" s="16"/>
      <c r="P25" s="16"/>
      <c r="Q25" s="16"/>
      <c r="R25" s="16"/>
      <c r="S25" s="16"/>
      <c r="T25" s="16"/>
    </row>
    <row r="26" spans="1:20" s="54" customFormat="1" x14ac:dyDescent="0.2">
      <c r="A26" s="16"/>
      <c r="B26" s="16"/>
      <c r="C26" s="16"/>
      <c r="D26" s="16"/>
      <c r="E26" s="16"/>
      <c r="F26" s="16"/>
      <c r="G26" s="16"/>
      <c r="H26" s="16"/>
      <c r="I26" s="16"/>
      <c r="J26" s="16"/>
      <c r="K26" s="16"/>
      <c r="L26" s="16"/>
      <c r="M26" s="16"/>
      <c r="N26" s="16"/>
      <c r="O26" s="16"/>
      <c r="P26" s="16"/>
      <c r="Q26" s="16"/>
      <c r="R26" s="16"/>
      <c r="S26" s="16"/>
      <c r="T26" s="16"/>
    </row>
    <row r="27" spans="1:20" s="54" customFormat="1" ht="52.5" customHeight="1" x14ac:dyDescent="0.2">
      <c r="A27" s="25" t="s">
        <v>137</v>
      </c>
      <c r="B27" s="107" t="s">
        <v>166</v>
      </c>
      <c r="C27" s="9" t="s">
        <v>250</v>
      </c>
      <c r="D27" s="9" t="s">
        <v>251</v>
      </c>
      <c r="E27" s="9" t="s">
        <v>246</v>
      </c>
      <c r="F27" s="9" t="s">
        <v>373</v>
      </c>
      <c r="G27" s="9" t="s">
        <v>252</v>
      </c>
      <c r="H27" s="9" t="s">
        <v>248</v>
      </c>
      <c r="I27" s="199" t="s">
        <v>388</v>
      </c>
      <c r="J27" s="101" t="s">
        <v>247</v>
      </c>
      <c r="K27" s="9" t="s">
        <v>324</v>
      </c>
      <c r="L27" s="9" t="s">
        <v>388</v>
      </c>
      <c r="M27" s="16"/>
      <c r="N27" s="16"/>
      <c r="O27" s="16"/>
      <c r="P27" s="16"/>
      <c r="Q27" s="16"/>
      <c r="R27" s="16"/>
      <c r="S27" s="16"/>
    </row>
    <row r="28" spans="1:20" s="54" customFormat="1" ht="18" customHeight="1" x14ac:dyDescent="0.25">
      <c r="A28" s="68" t="s">
        <v>118</v>
      </c>
      <c r="B28" s="106">
        <f>COUNTIF('SERVICE ENTRY'!$AC$4:$AC$1200,'Screening Services Report'!A28)+COUNTIF('SERVICE ENTRY'!$AD$4:$AD$1200,'Screening Services Report'!A28)</f>
        <v>0</v>
      </c>
      <c r="C28" s="219">
        <f>COUNTIFS('SERVICE ENTRY'!$AC$4:$AC$1200,'Screening Services Report'!A28,'SERVICE ENTRY'!$G$4:$G$1200,"American Indian or Alaska Native")+COUNTIFS('SERVICE ENTRY'!$AD$4:$AD$1200,'Screening Services Report'!A28,'SERVICE ENTRY'!$G$4:$G$1200,"American Indian or Alaska Native")</f>
        <v>0</v>
      </c>
      <c r="D28" s="94">
        <f>COUNTIFS('SERVICE ENTRY'!$AC$4:$AC$1200,'Screening Services Report'!A28,'SERVICE ENTRY'!$G$4:$G$1200,"Asian")+COUNTIFS('SERVICE ENTRY'!$AD$4:$AD$1200,'Screening Services Report'!A28,'SERVICE ENTRY'!$G$4:$G$1200,"Asian")</f>
        <v>0</v>
      </c>
      <c r="E28" s="94">
        <f>COUNTIFS('SERVICE ENTRY'!$AC$4:$AC$1200,'Screening Services Report'!A28,'SERVICE ENTRY'!$G$4:$G$1200,"Black/African-American")+COUNTIFS('SERVICE ENTRY'!$AD$4:$AD$1200,'Screening Services Report'!A28,'SERVICE ENTRY'!$G$4:$G$1200,"Black/African-American")</f>
        <v>0</v>
      </c>
      <c r="F28" s="42">
        <f>COUNTIFS('SERVICE ENTRY'!$AC$4:$AC$1200,'Screening Services Report'!A28,'SERVICE ENTRY'!$G$4:$G$1200,"Middle Eastern or North African")+COUNTIFS('SERVICE ENTRY'!$AD$4:$AD$1200,'Screening Services Report'!A28,'SERVICE ENTRY'!$G$4:$G$1200,"Middle Eastern or North African")</f>
        <v>0</v>
      </c>
      <c r="G28" s="100">
        <f>COUNTIFS('SERVICE ENTRY'!$AC$4:$AC$1200,'Screening Services Report'!A28,'SERVICE ENTRY'!$G$4:$G$1200,"Native Hawaiian or Pacific Islander")+COUNTIFS('SERVICE ENTRY'!$AD$4:$AD$1200,'Screening Services Report'!A28,'SERVICE ENTRY'!$G$4:$G$1200,"Native Hawaiian or Pacific Islander")</f>
        <v>0</v>
      </c>
      <c r="H28" s="100">
        <f>COUNTIFS('SERVICE ENTRY'!$AC$4:$AC$1200,'Screening Services Report'!A28,'SERVICE ENTRY'!$G$4:$G$1200,"White")+COUNTIFS('SERVICE ENTRY'!$AD$4:$AD$1200,'Screening Services Report'!A28,'SERVICE ENTRY'!$G$4:$G$1200,"White")</f>
        <v>0</v>
      </c>
      <c r="I28" s="106">
        <f>COUNTIFS('SERVICE ENTRY'!$AC$4:$AC$1200,'Screening Services Report'!A28,'SERVICE ENTRY'!$G$4:$G$1200,"Unknown or Other")+COUNTIFS('SERVICE ENTRY'!$AD$4:$AD$1200,'Screening Services Report'!A28,'SERVICE ENTRY'!$G$4:$G$1200,"Unknown or Other")</f>
        <v>0</v>
      </c>
      <c r="J28" s="220">
        <f>COUNTIFS('SERVICE ENTRY'!$AC$4:$AC$1200,'Screening Services Report'!A28,'SERVICE ENTRY'!$F$4:$F$1200,"Dominican")+COUNTIFS('SERVICE ENTRY'!$AD$4:$AD$1200,'Screening Services Report'!A28,'SERVICE ENTRY'!$F$4:$F$1200,"Dominican")+COUNTIFS('SERVICE ENTRY'!$AC$4:$AC$1200,'Screening Services Report'!A28,'SERVICE ENTRY'!$F$4:$F$1200,"Colombian")+COUNTIFS('SERVICE ENTRY'!$AD$4:$AD$1200,'Screening Services Report'!A28,'SERVICE ENTRY'!$F$4:$F$1200,"Colombian")+COUNTIFS('SERVICE ENTRY'!$AC$4:$AC$1200,'Screening Services Report'!A28,'SERVICE ENTRY'!$F$4:$F$1200,"Cuban")+COUNTIFS('SERVICE ENTRY'!$AD$4:$AD$1200,'Screening Services Report'!A28,'SERVICE ENTRY'!$F$4:$F$1200,"Cuban")+COUNTIFS('SERVICE ENTRY'!$AC$4:$AC$1200,'Screening Services Report'!A28,'SERVICE ENTRY'!$F$4:$F$1200,"Mexican/Mexican-American/Chicano")+COUNTIFS('SERVICE ENTRY'!$AD$4:$AD$1200,'Screening Services Report'!A28,'SERVICE ENTRY'!$F$4:$F$1200,"Mexican/Mexican-American/Chicano")+COUNTIFS('SERVICE ENTRY'!$AC$4:$AC$1200,'Screening Services Report'!A28,'SERVICE ENTRY'!$F$4:$F$1200,"Puerto Rican")+COUNTIFS('SERVICE ENTRY'!$AD$4:$AD$1200,'Screening Services Report'!A28,'SERVICE ENTRY'!$F$4:$F$1200,"Puerto Rican")+COUNTIFS('SERVICE ENTRY'!$AC$4:$AC$1200,'Screening Services Report'!A28,'SERVICE ENTRY'!$F$4:$F$1200,"Salvadoran")+COUNTIFS('SERVICE ENTRY'!$AD$4:$AD$1200,'Screening Services Report'!A28,'SERVICE ENTRY'!$F$4:$F$1200,"Salvadoran")+COUNTIFS('SERVICE ENTRY'!$AC$4:$AC$1200,'Screening Services Report'!A28,'SERVICE ENTRY'!$F$4:$F$1200,"Other Hispanic/Latino/Spanish origin")+COUNTIFS('SERVICE ENTRY'!$AD$4:$AD$1200,'Screening Services Report'!A28,'SERVICE ENTRY'!$F$4:$F$1200,"Other Hispanic/Latino/Spanish origin")</f>
        <v>0</v>
      </c>
      <c r="K28" s="42">
        <f>COUNTIFS('SERVICE ENTRY'!$AC$4:$AC$1200,'Screening Services Report'!A28,'SERVICE ENTRY'!$F$4:$F$1200,"Not of Hispanish/Latino/Spanish origin")+COUNTIFS('SERVICE ENTRY'!$AD$4:$AD$1200,'Screening Services Report'!A28,'SERVICE ENTRY'!$F$4:$F$1200,"Not of Hispanich/Latino/Spanish origin")</f>
        <v>0</v>
      </c>
      <c r="L28" s="32">
        <f>COUNTIFS('SERVICE ENTRY'!$AC$4:$AC$1200,'Screening Services Report'!A28,'SERVICE ENTRY'!$F$4:$F$1200,"Unknown or Other")+COUNTIFS('SERVICE ENTRY'!$AD$4:$AD$1200,'Screening Services Report'!A28,'SERVICE ENTRY'!$F$4:$F$1200,"Unknown or Other")</f>
        <v>0</v>
      </c>
      <c r="M28" s="16"/>
      <c r="N28" s="16"/>
      <c r="O28" s="16"/>
      <c r="P28" s="16"/>
      <c r="Q28" s="16"/>
      <c r="R28" s="16"/>
      <c r="S28" s="16"/>
    </row>
    <row r="29" spans="1:20" s="54" customFormat="1" ht="15" x14ac:dyDescent="0.25">
      <c r="A29" s="68" t="s">
        <v>67</v>
      </c>
      <c r="B29" s="106">
        <f>COUNTIF('SERVICE ENTRY'!$AC$4:$AC$1200,'Screening Services Report'!A29)+COUNTIF('SERVICE ENTRY'!$AD$4:$AD$1200,'Screening Services Report'!A29)</f>
        <v>0</v>
      </c>
      <c r="C29" s="219">
        <f>COUNTIFS('SERVICE ENTRY'!$AC$4:$AC$1200,'Screening Services Report'!A29,'SERVICE ENTRY'!$G$4:$G$1200,"American Indian or Alaska Native")+COUNTIFS('SERVICE ENTRY'!$AD$4:$AD$1200,'Screening Services Report'!A29,'SERVICE ENTRY'!$G$4:$G$1200,"American Indian or Alaska Native")</f>
        <v>0</v>
      </c>
      <c r="D29" s="94">
        <f>COUNTIFS('SERVICE ENTRY'!$AC$4:$AC$1200,'Screening Services Report'!A29,'SERVICE ENTRY'!$G$4:$G$1200,"Asian")+COUNTIFS('SERVICE ENTRY'!$AD$4:$AD$1200,'Screening Services Report'!A29,'SERVICE ENTRY'!$G$4:$G$1200,"Asian")</f>
        <v>0</v>
      </c>
      <c r="E29" s="94">
        <f>COUNTIFS('SERVICE ENTRY'!$AC$4:$AC$1200,'Screening Services Report'!A29,'SERVICE ENTRY'!$G$4:$G$1200,"Black/African-American")+COUNTIFS('SERVICE ENTRY'!$AD$4:$AD$1200,'Screening Services Report'!A29,'SERVICE ENTRY'!$G$4:$G$1200,"Black/African-American")</f>
        <v>0</v>
      </c>
      <c r="F29" s="42">
        <f>COUNTIFS('SERVICE ENTRY'!$AC$4:$AC$1200,'Screening Services Report'!A29,'SERVICE ENTRY'!$G$4:$G$1200,"Middle Eastern or North African")+COUNTIFS('SERVICE ENTRY'!$AD$4:$AD$1200,'Screening Services Report'!A29,'SERVICE ENTRY'!$G$4:$G$1200,"Middle Eastern or North African")</f>
        <v>0</v>
      </c>
      <c r="G29" s="100">
        <f>COUNTIFS('SERVICE ENTRY'!$AC$4:$AC$1200,'Screening Services Report'!A29,'SERVICE ENTRY'!$G$4:$G$1200,"Native Hawaiian or Pacific Islander")+COUNTIFS('SERVICE ENTRY'!$AD$4:$AD$1200,'Screening Services Report'!A29,'SERVICE ENTRY'!$G$4:$G$1200,"Native Hawaiian or Pacific Islander")</f>
        <v>0</v>
      </c>
      <c r="H29" s="100">
        <f>COUNTIFS('SERVICE ENTRY'!$AC$4:$AC$1200,'Screening Services Report'!A29,'SERVICE ENTRY'!$G$4:$G$1200,"White")+COUNTIFS('SERVICE ENTRY'!$AD$4:$AD$1200,'Screening Services Report'!A29,'SERVICE ENTRY'!$G$4:$G$1200,"White")</f>
        <v>0</v>
      </c>
      <c r="I29" s="106">
        <f>COUNTIFS('SERVICE ENTRY'!$AC$4:$AC$1200,'Screening Services Report'!A29,'SERVICE ENTRY'!$G$4:$G$1200,"Unknown or Other")+COUNTIFS('SERVICE ENTRY'!$AD$4:$AD$1200,'Screening Services Report'!A29,'SERVICE ENTRY'!$G$4:$G$1200,"Unknown or Other")</f>
        <v>0</v>
      </c>
      <c r="J29" s="220">
        <f>COUNTIFS('SERVICE ENTRY'!$AC$4:$AC$1200,'Screening Services Report'!A29,'SERVICE ENTRY'!$F$4:$F$1200,"Dominican")+COUNTIFS('SERVICE ENTRY'!$AD$4:$AD$1200,'Screening Services Report'!A29,'SERVICE ENTRY'!$F$4:$F$1200,"Dominican")+COUNTIFS('SERVICE ENTRY'!$AC$4:$AC$1200,'Screening Services Report'!A29,'SERVICE ENTRY'!$F$4:$F$1200,"Colombian")+COUNTIFS('SERVICE ENTRY'!$AD$4:$AD$1200,'Screening Services Report'!A29,'SERVICE ENTRY'!$F$4:$F$1200,"Colombian")+COUNTIFS('SERVICE ENTRY'!$AC$4:$AC$1200,'Screening Services Report'!A29,'SERVICE ENTRY'!$F$4:$F$1200,"Cuban")+COUNTIFS('SERVICE ENTRY'!$AD$4:$AD$1200,'Screening Services Report'!A29,'SERVICE ENTRY'!$F$4:$F$1200,"Cuban")+COUNTIFS('SERVICE ENTRY'!$AC$4:$AC$1200,'Screening Services Report'!A29,'SERVICE ENTRY'!$F$4:$F$1200,"Mexican/Mexican-American/Chicano")+COUNTIFS('SERVICE ENTRY'!$AD$4:$AD$1200,'Screening Services Report'!A29,'SERVICE ENTRY'!$F$4:$F$1200,"Mexican/Mexican-American/Chicano")+COUNTIFS('SERVICE ENTRY'!$AC$4:$AC$1200,'Screening Services Report'!A29,'SERVICE ENTRY'!$F$4:$F$1200,"Puerto Rican")+COUNTIFS('SERVICE ENTRY'!$AD$4:$AD$1200,'Screening Services Report'!A29,'SERVICE ENTRY'!$F$4:$F$1200,"Puerto Rican")+COUNTIFS('SERVICE ENTRY'!$AC$4:$AC$1200,'Screening Services Report'!A29,'SERVICE ENTRY'!$F$4:$F$1200,"Salvadoran")+COUNTIFS('SERVICE ENTRY'!$AD$4:$AD$1200,'Screening Services Report'!A29,'SERVICE ENTRY'!$F$4:$F$1200,"Salvadoran")+COUNTIFS('SERVICE ENTRY'!$AC$4:$AC$1200,'Screening Services Report'!A29,'SERVICE ENTRY'!$F$4:$F$1200,"Other Hispanic/Latino/Spanish origin")+COUNTIFS('SERVICE ENTRY'!$AD$4:$AD$1200,'Screening Services Report'!A29,'SERVICE ENTRY'!$F$4:$F$1200,"Other Hispanic/Latino/Spanish origin")</f>
        <v>0</v>
      </c>
      <c r="K29" s="42">
        <f>COUNTIFS('SERVICE ENTRY'!$AC$4:$AC$1200,'Screening Services Report'!A29,'SERVICE ENTRY'!$F$4:$F$1200,"Not of Hispanish/Latino/Spanish origin")+COUNTIFS('SERVICE ENTRY'!$AD$4:$AD$1200,'Screening Services Report'!A29,'SERVICE ENTRY'!$F$4:$F$1200,"Not of Hispanich/Latino/Spanish origin")</f>
        <v>0</v>
      </c>
      <c r="L29" s="32">
        <f>COUNTIFS('SERVICE ENTRY'!$AC$4:$AC$1200,'Screening Services Report'!A29,'SERVICE ENTRY'!$F$4:$F$1200,"Unknown or Other")+COUNTIFS('SERVICE ENTRY'!$AD$4:$AD$1200,'Screening Services Report'!A29,'SERVICE ENTRY'!$F$4:$F$1200,"Unknown or Other")</f>
        <v>0</v>
      </c>
      <c r="M29" s="16"/>
      <c r="N29" s="16"/>
      <c r="O29" s="16"/>
      <c r="P29" s="16"/>
      <c r="Q29" s="16"/>
      <c r="R29" s="16"/>
      <c r="S29" s="16"/>
    </row>
    <row r="30" spans="1:20" s="54" customFormat="1" ht="15.75" thickBot="1" x14ac:dyDescent="0.3">
      <c r="A30" s="113" t="s">
        <v>138</v>
      </c>
      <c r="B30" s="106">
        <f>COUNTIF('SERVICE ENTRY'!$AC$4:$AC$1200,'Screening Services Report'!A30)+COUNTIF('SERVICE ENTRY'!$AD$4:$AD$1200,'Screening Services Report'!A30)</f>
        <v>0</v>
      </c>
      <c r="C30" s="221">
        <f>COUNTIFS('SERVICE ENTRY'!$AC$4:$AC$1200,'Screening Services Report'!A30,'SERVICE ENTRY'!$G$4:$G$1200,"American Indian or Alaska Native")+COUNTIFS('SERVICE ENTRY'!$AD$4:$AD$1200,'Screening Services Report'!A30,'SERVICE ENTRY'!$G$4:$G$1200,"American Indian or Alaska Native")</f>
        <v>0</v>
      </c>
      <c r="D30" s="222">
        <f>COUNTIFS('SERVICE ENTRY'!$AC$4:$AC$1200,'Screening Services Report'!A30,'SERVICE ENTRY'!$G$4:$G$1200,"Asian")+COUNTIFS('SERVICE ENTRY'!$AD$4:$AD$1200,'Screening Services Report'!A30,'SERVICE ENTRY'!$G$4:$G$1200,"Asian")</f>
        <v>0</v>
      </c>
      <c r="E30" s="222">
        <f>COUNTIFS('SERVICE ENTRY'!$AC$4:$AC$1200,'Screening Services Report'!A30,'SERVICE ENTRY'!$G$4:$G$1200,"Black/African-American")+COUNTIFS('SERVICE ENTRY'!$AD$4:$AD$1200,'Screening Services Report'!A30,'SERVICE ENTRY'!$G$4:$G$1200,"Black/African-American")</f>
        <v>0</v>
      </c>
      <c r="F30" s="99">
        <f>COUNTIFS('SERVICE ENTRY'!$AC$4:$AC$1200,'Screening Services Report'!A30,'SERVICE ENTRY'!$G$4:$G$1200,"Middle Eastern or North African")+COUNTIFS('SERVICE ENTRY'!$AD$4:$AD$1200,'Screening Services Report'!A30,'SERVICE ENTRY'!$G$4:$G$1200,"Middle Eastern or North African")</f>
        <v>0</v>
      </c>
      <c r="G30" s="118">
        <f>COUNTIFS('SERVICE ENTRY'!$AC$4:$AC$1200,'Screening Services Report'!A30,'SERVICE ENTRY'!$G$4:$G$1200,"Native Hawaiian or Pacific Islander")+COUNTIFS('SERVICE ENTRY'!$AD$4:$AD$1200,'Screening Services Report'!A30,'SERVICE ENTRY'!$G$4:$G$1200,"Native Hawaiian or Pacific Islander")</f>
        <v>0</v>
      </c>
      <c r="H30" s="118">
        <f>COUNTIFS('SERVICE ENTRY'!$AC$4:$AC$1200,'Screening Services Report'!A30,'SERVICE ENTRY'!$G$4:$G$1200,"White")+COUNTIFS('SERVICE ENTRY'!$AD$4:$AD$1200,'Screening Services Report'!A30,'SERVICE ENTRY'!$G$4:$G$1200,"White")</f>
        <v>0</v>
      </c>
      <c r="I30" s="117">
        <f>COUNTIFS('SERVICE ENTRY'!$AC$4:$AC$1200,'Screening Services Report'!A30,'SERVICE ENTRY'!$G$4:$G$1200,"Unknown or Other")+COUNTIFS('SERVICE ENTRY'!$AD$4:$AD$1200,'Screening Services Report'!A30,'SERVICE ENTRY'!$G$4:$G$1200,"Unknown or Other")</f>
        <v>0</v>
      </c>
      <c r="J30" s="223">
        <f>COUNTIFS('SERVICE ENTRY'!$AC$4:$AC$1200,'Screening Services Report'!A30,'SERVICE ENTRY'!$F$4:$F$1200,"Dominican")+COUNTIFS('SERVICE ENTRY'!$AD$4:$AD$1200,'Screening Services Report'!A30,'SERVICE ENTRY'!$F$4:$F$1200,"Dominican")+COUNTIFS('SERVICE ENTRY'!$AC$4:$AC$1200,'Screening Services Report'!A30,'SERVICE ENTRY'!$F$4:$F$1200,"Colombian")+COUNTIFS('SERVICE ENTRY'!$AD$4:$AD$1200,'Screening Services Report'!A30,'SERVICE ENTRY'!$F$4:$F$1200,"Colombian")+COUNTIFS('SERVICE ENTRY'!$AC$4:$AC$1200,'Screening Services Report'!A30,'SERVICE ENTRY'!$F$4:$F$1200,"Cuban")+COUNTIFS('SERVICE ENTRY'!$AD$4:$AD$1200,'Screening Services Report'!A30,'SERVICE ENTRY'!$F$4:$F$1200,"Cuban")+COUNTIFS('SERVICE ENTRY'!$AC$4:$AC$1200,'Screening Services Report'!A30,'SERVICE ENTRY'!$F$4:$F$1200,"Mexican/Mexican-American/Chicano")+COUNTIFS('SERVICE ENTRY'!$AD$4:$AD$1200,'Screening Services Report'!A30,'SERVICE ENTRY'!$F$4:$F$1200,"Mexican/Mexican-American/Chicano")+COUNTIFS('SERVICE ENTRY'!$AC$4:$AC$1200,'Screening Services Report'!A30,'SERVICE ENTRY'!$F$4:$F$1200,"Puerto Rican")+COUNTIFS('SERVICE ENTRY'!$AD$4:$AD$1200,'Screening Services Report'!A30,'SERVICE ENTRY'!$F$4:$F$1200,"Puerto Rican")+COUNTIFS('SERVICE ENTRY'!$AC$4:$AC$1200,'Screening Services Report'!A30,'SERVICE ENTRY'!$F$4:$F$1200,"Salvadoran")+COUNTIFS('SERVICE ENTRY'!$AD$4:$AD$1200,'Screening Services Report'!A30,'SERVICE ENTRY'!$F$4:$F$1200,"Salvadoran")+COUNTIFS('SERVICE ENTRY'!$AC$4:$AC$1200,'Screening Services Report'!A30,'SERVICE ENTRY'!$F$4:$F$1200,"Other Hispanic/Latino/Spanish origin")+COUNTIFS('SERVICE ENTRY'!$AD$4:$AD$1200,'Screening Services Report'!A30,'SERVICE ENTRY'!$F$4:$F$1200,"Other Hispanic/Latino/Spanish origin")</f>
        <v>0</v>
      </c>
      <c r="K30" s="99">
        <f>COUNTIFS('SERVICE ENTRY'!$AC$4:$AC$1200,'Screening Services Report'!A30,'SERVICE ENTRY'!$F$4:$F$1200,"Not of Hispanish/Latino/Spanish origin")+COUNTIFS('SERVICE ENTRY'!$AD$4:$AD$1200,'Screening Services Report'!A30,'SERVICE ENTRY'!$F$4:$F$1200,"Not of Hispanich/Latino/Spanish origin")</f>
        <v>0</v>
      </c>
      <c r="L30" s="224">
        <f>COUNTIFS('SERVICE ENTRY'!$AC$4:$AC$1200,'Screening Services Report'!A30,'SERVICE ENTRY'!$F$4:$F$1200,"Unknown or Other")+COUNTIFS('SERVICE ENTRY'!$AD$4:$AD$1200,'Screening Services Report'!A30,'SERVICE ENTRY'!$F$4:$F$1200,"Unknown or Other")</f>
        <v>0</v>
      </c>
      <c r="M30" s="16"/>
      <c r="N30" s="16"/>
      <c r="O30" s="16"/>
      <c r="P30" s="16"/>
      <c r="Q30" s="16"/>
      <c r="R30" s="16"/>
      <c r="S30" s="16"/>
    </row>
    <row r="31" spans="1:20" s="54" customFormat="1" ht="15.75" thickBot="1" x14ac:dyDescent="0.3">
      <c r="A31" s="365" t="s">
        <v>267</v>
      </c>
      <c r="B31" s="367">
        <f>SUM(B24:B30)</f>
        <v>0</v>
      </c>
      <c r="C31" s="225">
        <f>SUM(C28:C30)</f>
        <v>0</v>
      </c>
      <c r="D31" s="215">
        <f t="shared" ref="D31:L31" si="0">SUM(D28:D30)</f>
        <v>0</v>
      </c>
      <c r="E31" s="215">
        <f t="shared" si="0"/>
        <v>0</v>
      </c>
      <c r="F31" s="215">
        <f t="shared" si="0"/>
        <v>0</v>
      </c>
      <c r="G31" s="215">
        <f t="shared" si="0"/>
        <v>0</v>
      </c>
      <c r="H31" s="215">
        <f t="shared" si="0"/>
        <v>0</v>
      </c>
      <c r="I31" s="217">
        <f t="shared" si="0"/>
        <v>0</v>
      </c>
      <c r="J31" s="227">
        <f t="shared" si="0"/>
        <v>0</v>
      </c>
      <c r="K31" s="195">
        <f t="shared" si="0"/>
        <v>0</v>
      </c>
      <c r="L31" s="216">
        <f t="shared" si="0"/>
        <v>0</v>
      </c>
      <c r="M31" s="16"/>
      <c r="N31" s="16"/>
      <c r="O31" s="16"/>
      <c r="P31" s="16"/>
      <c r="Q31" s="16"/>
      <c r="R31" s="16"/>
      <c r="S31" s="16"/>
    </row>
    <row r="32" spans="1:20" ht="30" customHeight="1" thickBot="1" x14ac:dyDescent="0.3">
      <c r="A32" s="366"/>
      <c r="B32" s="368"/>
      <c r="C32" s="372">
        <f>SUM(C31:I31)</f>
        <v>0</v>
      </c>
      <c r="D32" s="373"/>
      <c r="E32" s="373"/>
      <c r="F32" s="373"/>
      <c r="G32" s="373"/>
      <c r="H32" s="373"/>
      <c r="I32" s="373"/>
      <c r="J32" s="372">
        <f>SUM(J31:L31)</f>
        <v>0</v>
      </c>
      <c r="K32" s="373"/>
      <c r="L32" s="374"/>
    </row>
    <row r="34" spans="1:20" x14ac:dyDescent="0.2">
      <c r="S34" s="16"/>
    </row>
    <row r="35" spans="1:20" ht="46.5" customHeight="1" x14ac:dyDescent="0.2">
      <c r="A35" s="25" t="s">
        <v>167</v>
      </c>
      <c r="B35" s="107" t="s">
        <v>168</v>
      </c>
      <c r="C35" s="9" t="s">
        <v>250</v>
      </c>
      <c r="D35" s="9" t="s">
        <v>251</v>
      </c>
      <c r="E35" s="9" t="s">
        <v>246</v>
      </c>
      <c r="F35" s="9" t="s">
        <v>373</v>
      </c>
      <c r="G35" s="9" t="s">
        <v>252</v>
      </c>
      <c r="H35" s="9" t="s">
        <v>248</v>
      </c>
      <c r="I35" s="199" t="s">
        <v>388</v>
      </c>
      <c r="J35" s="101" t="s">
        <v>247</v>
      </c>
      <c r="K35" s="9" t="s">
        <v>324</v>
      </c>
      <c r="L35" s="9" t="s">
        <v>388</v>
      </c>
      <c r="R35" s="17"/>
      <c r="S35" s="16"/>
      <c r="T35" s="3"/>
    </row>
    <row r="36" spans="1:20" ht="15" x14ac:dyDescent="0.25">
      <c r="A36" s="68" t="s">
        <v>121</v>
      </c>
      <c r="B36" s="106">
        <f>COUNTIF('SERVICE ENTRY'!$AE$4:$AE$1200,'Screening Services Report'!A36)</f>
        <v>0</v>
      </c>
      <c r="C36" s="92">
        <f>COUNTIFS('SERVICE ENTRY'!$AE$4:$AE$1200,'Screening Services Report'!A36,'SERVICE ENTRY'!$G$4:$G$1200,"American Indian or Alaska Native")</f>
        <v>0</v>
      </c>
      <c r="D36" s="42">
        <f>COUNTIFS('SERVICE ENTRY'!$AE$4:$AE$1200,'Screening Services Report'!A36,'SERVICE ENTRY'!$G$4:$G$1200,"Asian")</f>
        <v>0</v>
      </c>
      <c r="E36" s="42">
        <f>COUNTIFS('SERVICE ENTRY'!$AE$4:$AE$1200,'Screening Services Report'!A36,'SERVICE ENTRY'!$G$4:$G$1200,"Black/African-American")</f>
        <v>0</v>
      </c>
      <c r="F36" s="42">
        <f>COUNTIFS('SERVICE ENTRY'!$AE$4:$AE$1200,'Screening Services Report'!A36,'SERVICE ENTRY'!$G$4:$G$1200,"Middle Eastern or North African")</f>
        <v>0</v>
      </c>
      <c r="G36" s="42">
        <f>COUNTIFS('SERVICE ENTRY'!$AE$4:$AE$1200,'Screening Services Report'!A36,'SERVICE ENTRY'!$G$4:$G$1200,"Native Hawaiian or Pacific Islander")</f>
        <v>0</v>
      </c>
      <c r="H36" s="42">
        <f>COUNTIFS('SERVICE ENTRY'!$AE$4:$AE$1200,'Screening Services Report'!A36,'SERVICE ENTRY'!$G$4:$G$1200,"White")</f>
        <v>0</v>
      </c>
      <c r="I36" s="92">
        <f>COUNTIFS('SERVICE ENTRY'!$AE$4:$AE$1200,'Screening Services Report'!A36,'SERVICE ENTRY'!$G$4:$G$1200,"Unknown or Other")</f>
        <v>0</v>
      </c>
      <c r="J36" s="220">
        <f>COUNTIFS('SERVICE ENTRY'!$AE$4:$AE$1200,'Screening Services Report'!A36,'SERVICE ENTRY'!$F$4:$F$1200,"Colombian")+COUNTIFS('SERVICE ENTRY'!$AE$4:$AE$1200,'Screening Services Report'!A36,'SERVICE ENTRY'!$F$4:$F$1200,"Cuban")+COUNTIFS('SERVICE ENTRY'!$AE$4:$AE$1200,'Screening Services Report'!A36,'SERVICE ENTRY'!$F$4:$F$1200,"Dominican")+COUNTIFS('SERVICE ENTRY'!$AE$4:$AE$1200,'Screening Services Report'!A36,'SERVICE ENTRY'!$F$4:$F$1200,"Mexican/Mexican-American/Chicano")+COUNTIFS('SERVICE ENTRY'!$AE$4:$AE$1200,'Screening Services Report'!A36,'SERVICE ENTRY'!$F$4:$F$1200,"Puerto Rican")+COUNTIFS('SERVICE ENTRY'!$AE$4:$AE$1200,'Screening Services Report'!A36,'SERVICE ENTRY'!$F$4:$F$1200,"Salvadoran")+COUNTIFS('SERVICE ENTRY'!$AE$4:$AE$1200,'Screening Services Report'!A36,'SERVICE ENTRY'!$F$4:$F$1200,"Other Hispanic/Latino/Spanish origin")</f>
        <v>0</v>
      </c>
      <c r="K36" s="42">
        <f>COUNTIFS('SERVICE ENTRY'!$AE$4:$AE$1200,'Screening Services Report'!A36,'SERVICE ENTRY'!$F$4:$F$1200,"Not of Hispanic/Latino/Spanish origin")</f>
        <v>0</v>
      </c>
      <c r="L36" s="32">
        <f>COUNTIFS('SERVICE ENTRY'!$AE$4:$AE$1200,'Screening Services Report'!A36,'SERVICE ENTRY'!$F$4:$F$1200,"Unknown or Other")</f>
        <v>0</v>
      </c>
      <c r="R36" s="17"/>
      <c r="S36" s="16"/>
      <c r="T36" s="3"/>
    </row>
    <row r="37" spans="1:20" ht="15" x14ac:dyDescent="0.25">
      <c r="A37" s="68" t="s">
        <v>64</v>
      </c>
      <c r="B37" s="106">
        <f>COUNTIF('SERVICE ENTRY'!$AE$4:$AE$1200,'Screening Services Report'!A37)</f>
        <v>0</v>
      </c>
      <c r="C37" s="92">
        <f>COUNTIFS('SERVICE ENTRY'!$AE$4:$AE$1200,'Screening Services Report'!A37,'SERVICE ENTRY'!$G$4:$G$1200,"American Indian or Alaska Native")</f>
        <v>0</v>
      </c>
      <c r="D37" s="42">
        <f>COUNTIFS('SERVICE ENTRY'!$AE$4:$AE$1200,'Screening Services Report'!A37,'SERVICE ENTRY'!$G$4:$G$1200,"Asian")</f>
        <v>0</v>
      </c>
      <c r="E37" s="42">
        <f>COUNTIFS('SERVICE ENTRY'!$AE$4:$AE$1200,'Screening Services Report'!A37,'SERVICE ENTRY'!$G$4:$G$1200,"Black/African-American")</f>
        <v>0</v>
      </c>
      <c r="F37" s="42">
        <f>COUNTIFS('SERVICE ENTRY'!$AE$4:$AE$1200,'Screening Services Report'!A37,'SERVICE ENTRY'!$G$4:$G$1200,"Middle Eastern or North African")</f>
        <v>0</v>
      </c>
      <c r="G37" s="42">
        <f>COUNTIFS('SERVICE ENTRY'!$AE$4:$AE$1200,'Screening Services Report'!A37,'SERVICE ENTRY'!$G$4:$G$1200,"Native Hawaiian or Pacific Islander")</f>
        <v>0</v>
      </c>
      <c r="H37" s="42">
        <f>COUNTIFS('SERVICE ENTRY'!$AE$4:$AE$1200,'Screening Services Report'!A37,'SERVICE ENTRY'!$G$4:$G$1200,"White")</f>
        <v>0</v>
      </c>
      <c r="I37" s="92">
        <f>COUNTIFS('SERVICE ENTRY'!$AE$4:$AE$1200,'Screening Services Report'!A37,'SERVICE ENTRY'!$G$4:$G$1200,"Unknown or Other")</f>
        <v>0</v>
      </c>
      <c r="J37" s="220">
        <f>COUNTIFS('SERVICE ENTRY'!$AE$4:$AE$1200,'Screening Services Report'!A37,'SERVICE ENTRY'!$F$4:$F$1200,"Colombian")+COUNTIFS('SERVICE ENTRY'!$AE$4:$AE$1200,'Screening Services Report'!A37,'SERVICE ENTRY'!$F$4:$F$1200,"Cuban")+COUNTIFS('SERVICE ENTRY'!$AE$4:$AE$1200,'Screening Services Report'!A37,'SERVICE ENTRY'!$F$4:$F$1200,"Dominican")+COUNTIFS('SERVICE ENTRY'!$AE$4:$AE$1200,'Screening Services Report'!A37,'SERVICE ENTRY'!$F$4:$F$1200,"Mexican/Mexican-American/Chicano")+COUNTIFS('SERVICE ENTRY'!$AE$4:$AE$1200,'Screening Services Report'!A37,'SERVICE ENTRY'!$F$4:$F$1200,"Puerto Rican")+COUNTIFS('SERVICE ENTRY'!$AE$4:$AE$1200,'Screening Services Report'!A37,'SERVICE ENTRY'!$F$4:$F$1200,"Salvadoran")+COUNTIFS('SERVICE ENTRY'!$AE$4:$AE$1200,'Screening Services Report'!A37,'SERVICE ENTRY'!$F$4:$F$1200,"Other Hispanic/Latino/Spanish origin")</f>
        <v>0</v>
      </c>
      <c r="K37" s="42">
        <f>COUNTIFS('SERVICE ENTRY'!$AE$4:$AE$1200,'Screening Services Report'!A37,'SERVICE ENTRY'!$F$4:$F$1200,"Not of Hispanic/Latino/Spanish origin")</f>
        <v>0</v>
      </c>
      <c r="L37" s="32">
        <f>COUNTIFS('SERVICE ENTRY'!$AE$4:$AE$1200,'Screening Services Report'!A37,'SERVICE ENTRY'!$F$4:$F$1200,"Unknown or Other")</f>
        <v>0</v>
      </c>
      <c r="R37" s="17"/>
      <c r="S37" s="16"/>
      <c r="T37" s="3"/>
    </row>
    <row r="38" spans="1:20" ht="15.75" thickBot="1" x14ac:dyDescent="0.3">
      <c r="A38" s="113" t="s">
        <v>122</v>
      </c>
      <c r="B38" s="106">
        <f>COUNTIF('SERVICE ENTRY'!$AE$4:$AE$1200,'Screening Services Report'!A38)</f>
        <v>0</v>
      </c>
      <c r="C38" s="104">
        <f>COUNTIFS('SERVICE ENTRY'!$AE$4:$AE$1200,'Screening Services Report'!A38,'SERVICE ENTRY'!$G$4:$G$1200,"American Indian or Alaska Native")</f>
        <v>0</v>
      </c>
      <c r="D38" s="98">
        <f>COUNTIFS('SERVICE ENTRY'!$AE$4:$AE$1200,'Screening Services Report'!A38,'SERVICE ENTRY'!$G$4:$G$1200,"Asian")</f>
        <v>0</v>
      </c>
      <c r="E38" s="98">
        <f>COUNTIFS('SERVICE ENTRY'!$AE$4:$AE$1200,'Screening Services Report'!A38,'SERVICE ENTRY'!$G$4:$G$1200,"Black/African-American")</f>
        <v>0</v>
      </c>
      <c r="F38" s="98">
        <f>COUNTIFS('SERVICE ENTRY'!$AE$4:$AE$1200,'Screening Services Report'!A38,'SERVICE ENTRY'!$G$4:$G$1200,"Middle Eastern or North African")</f>
        <v>0</v>
      </c>
      <c r="G38" s="98">
        <f>COUNTIFS('SERVICE ENTRY'!$AE$4:$AE$1200,'Screening Services Report'!A38,'SERVICE ENTRY'!$G$4:$G$1200,"Native Hawaiian or Pacific Islander")</f>
        <v>0</v>
      </c>
      <c r="H38" s="98">
        <f>COUNTIFS('SERVICE ENTRY'!$AE$4:$AE$1200,'Screening Services Report'!A38,'SERVICE ENTRY'!$G$4:$G$1200,"White")</f>
        <v>0</v>
      </c>
      <c r="I38" s="228">
        <f>COUNTIFS('SERVICE ENTRY'!$AE$4:$AE$1200,'Screening Services Report'!A38,'SERVICE ENTRY'!$G$4:$G$1200,"Unknown or Other")</f>
        <v>0</v>
      </c>
      <c r="J38" s="229">
        <f>COUNTIFS('SERVICE ENTRY'!$AE$4:$AE$1200,'Screening Services Report'!A38,'SERVICE ENTRY'!$F$4:$F$1200,"Colombian")+COUNTIFS('SERVICE ENTRY'!$AE$4:$AE$1200,'Screening Services Report'!A38,'SERVICE ENTRY'!$F$4:$F$1200,"Cuban")+COUNTIFS('SERVICE ENTRY'!$AE$4:$AE$1200,'Screening Services Report'!A38,'SERVICE ENTRY'!$F$4:$F$1200,"Dominican")+COUNTIFS('SERVICE ENTRY'!$AE$4:$AE$1200,'Screening Services Report'!A38,'SERVICE ENTRY'!$F$4:$F$1200,"Mexican/Mexican-American/Chicano")+COUNTIFS('SERVICE ENTRY'!$AE$4:$AE$1200,'Screening Services Report'!A38,'SERVICE ENTRY'!$F$4:$F$1200,"Puerto Rican")+COUNTIFS('SERVICE ENTRY'!$AE$4:$AE$1200,'Screening Services Report'!A38,'SERVICE ENTRY'!$F$4:$F$1200,"Salvadoran")+COUNTIFS('SERVICE ENTRY'!$AE$4:$AE$1200,'Screening Services Report'!A38,'SERVICE ENTRY'!$F$4:$F$1200,"Other Hispanic/Latino/Spanish origin")</f>
        <v>0</v>
      </c>
      <c r="K38" s="98">
        <f>COUNTIFS('SERVICE ENTRY'!$AE$4:$AE$1200,'Screening Services Report'!A38,'SERVICE ENTRY'!$F$4:$F$1200,"Not of Hispanic/Latino/Spanish origin")</f>
        <v>0</v>
      </c>
      <c r="L38" s="230">
        <f>COUNTIFS('SERVICE ENTRY'!$AE$4:$AE$1200,'Screening Services Report'!A38,'SERVICE ENTRY'!$F$4:$F$1200,"Unknown or Other")</f>
        <v>0</v>
      </c>
      <c r="R38" s="17"/>
      <c r="S38" s="16"/>
      <c r="T38" s="3"/>
    </row>
    <row r="39" spans="1:20" ht="15.75" thickBot="1" x14ac:dyDescent="0.3">
      <c r="A39" s="365" t="s">
        <v>268</v>
      </c>
      <c r="B39" s="367">
        <f>SUM(B33:B38)</f>
        <v>0</v>
      </c>
      <c r="C39" s="198">
        <f t="shared" ref="C39:J39" si="1">SUM(C36:C38)</f>
        <v>0</v>
      </c>
      <c r="D39" s="192">
        <f t="shared" si="1"/>
        <v>0</v>
      </c>
      <c r="E39" s="192">
        <f t="shared" si="1"/>
        <v>0</v>
      </c>
      <c r="F39" s="192">
        <f t="shared" si="1"/>
        <v>0</v>
      </c>
      <c r="G39" s="192">
        <f t="shared" si="1"/>
        <v>0</v>
      </c>
      <c r="H39" s="192">
        <f t="shared" si="1"/>
        <v>0</v>
      </c>
      <c r="I39" s="193">
        <f t="shared" si="1"/>
        <v>0</v>
      </c>
      <c r="J39" s="198">
        <f t="shared" si="1"/>
        <v>0</v>
      </c>
      <c r="K39" s="192">
        <f t="shared" ref="K39:L39" si="2">SUM(K36:K38)</f>
        <v>0</v>
      </c>
      <c r="L39" s="192">
        <f t="shared" si="2"/>
        <v>0</v>
      </c>
      <c r="R39" s="17"/>
      <c r="S39" s="16"/>
      <c r="T39" s="3"/>
    </row>
    <row r="40" spans="1:20" ht="28.5" customHeight="1" thickBot="1" x14ac:dyDescent="0.3">
      <c r="A40" s="366"/>
      <c r="B40" s="368"/>
      <c r="C40" s="387">
        <f>SUM(C39:I39)</f>
        <v>0</v>
      </c>
      <c r="D40" s="370"/>
      <c r="E40" s="370"/>
      <c r="F40" s="370"/>
      <c r="G40" s="370"/>
      <c r="H40" s="370"/>
      <c r="I40" s="371"/>
      <c r="J40" s="387">
        <f>SUM(J39:L39)</f>
        <v>0</v>
      </c>
      <c r="K40" s="370"/>
      <c r="L40" s="371"/>
    </row>
    <row r="42" spans="1:20" x14ac:dyDescent="0.2">
      <c r="S42" s="16"/>
    </row>
    <row r="43" spans="1:20" ht="37.5" customHeight="1" x14ac:dyDescent="0.2">
      <c r="A43" s="25" t="s">
        <v>65</v>
      </c>
      <c r="B43" s="107" t="s">
        <v>249</v>
      </c>
      <c r="C43" s="9" t="s">
        <v>250</v>
      </c>
      <c r="D43" s="9" t="s">
        <v>251</v>
      </c>
      <c r="E43" s="9" t="s">
        <v>246</v>
      </c>
      <c r="F43" s="9" t="s">
        <v>373</v>
      </c>
      <c r="G43" s="9" t="s">
        <v>252</v>
      </c>
      <c r="H43" s="9" t="s">
        <v>248</v>
      </c>
      <c r="I43" s="199" t="s">
        <v>388</v>
      </c>
      <c r="J43" s="101" t="s">
        <v>247</v>
      </c>
      <c r="K43" s="9" t="s">
        <v>324</v>
      </c>
      <c r="L43" s="9" t="s">
        <v>388</v>
      </c>
      <c r="R43" s="17"/>
      <c r="S43" s="16"/>
      <c r="T43" s="3"/>
    </row>
    <row r="44" spans="1:20" ht="15" x14ac:dyDescent="0.25">
      <c r="A44" s="68" t="s">
        <v>62</v>
      </c>
      <c r="B44" s="106">
        <f>COUNTIF('SERVICE ENTRY'!$AF$4:$AF$1200,'Screening Services Report'!A44)</f>
        <v>0</v>
      </c>
      <c r="C44" s="92">
        <f>COUNTIFS('SERVICE ENTRY'!$AF$4:$AF$1200,'Screening Services Report'!A44,'SERVICE ENTRY'!$G$4:$G$1200,"American Indian or Alaska Native")</f>
        <v>0</v>
      </c>
      <c r="D44" s="42">
        <f>COUNTIFS('SERVICE ENTRY'!$AF$4:$AF$1200,'Screening Services Report'!A44,'SERVICE ENTRY'!$G$4:$G$1200,"Asian")</f>
        <v>0</v>
      </c>
      <c r="E44" s="42">
        <f>COUNTIFS('SERVICE ENTRY'!$AF$4:$AF$1200,'Screening Services Report'!A44,'SERVICE ENTRY'!$G$4:$G$1200,"Black/African-American")</f>
        <v>0</v>
      </c>
      <c r="F44" s="42">
        <f>COUNTIFS('SERVICE ENTRY'!$AF$4:$AF$1200,'Screening Services Report'!A44,'SERVICE ENTRY'!$G$4:$G$1200,"Middle Eastern or North African")</f>
        <v>0</v>
      </c>
      <c r="G44" s="42">
        <f>COUNTIFS('SERVICE ENTRY'!$AF$4:$AF$1200,'Screening Services Report'!A44,'SERVICE ENTRY'!$G$4:$G$1200,"Native Hawaiian or Pacific Islander")</f>
        <v>0</v>
      </c>
      <c r="H44" s="42">
        <f>COUNTIFS('SERVICE ENTRY'!$AF$4:$AF$1200,'Screening Services Report'!A44,'SERVICE ENTRY'!$G$4:$G$1200,"White")</f>
        <v>0</v>
      </c>
      <c r="I44" s="92">
        <f>COUNTIFS('SERVICE ENTRY'!$AF$4:$AF$1200,'Screening Services Report'!A44,'SERVICE ENTRY'!$G$4:$G$1200,"Unknown or Other")</f>
        <v>0</v>
      </c>
      <c r="J44" s="220">
        <f>COUNTIFS('SERVICE ENTRY'!$AF$4:$AF$1200,'Screening Services Report'!A44,'SERVICE ENTRY'!$F$4:$F$1200,"Colombian")+COUNTIFS('SERVICE ENTRY'!$AF$4:$AF$1200,'Screening Services Report'!A44,'SERVICE ENTRY'!$F$4:$F$1200,"Cuban")+COUNTIFS('SERVICE ENTRY'!$AF$4:$AF$1200,'Screening Services Report'!A44,'SERVICE ENTRY'!$F$4:$F$1200,"Dominican")+COUNTIFS('SERVICE ENTRY'!$AF$4:$AF$1200,'Screening Services Report'!A44,'SERVICE ENTRY'!$F$4:$F$1200,"Mexican/Mexican-American/Chicano")+COUNTIFS('SERVICE ENTRY'!$AF$4:$AF$1200,'Screening Services Report'!A44,'SERVICE ENTRY'!$F$4:$F$1200,"Puerto Rican")+COUNTIFS('SERVICE ENTRY'!$AF$4:$AF$1200,'Screening Services Report'!A44,'SERVICE ENTRY'!$F$4:$F$1200,"Salvadoran")+COUNTIFS('SERVICE ENTRY'!$AF$4:$AF$1200,'Screening Services Report'!A44,'SERVICE ENTRY'!$F$4:$F$1200,"Other Hispanic/Latino/Spanish origin")</f>
        <v>0</v>
      </c>
      <c r="K44" s="42">
        <f>COUNTIFS('SERVICE ENTRY'!$AF$4:$AF$1200,'Screening Services Report'!A44,'SERVICE ENTRY'!$F$4:$F$1200,"Not of Hispanic/Latino/Spanish origin")</f>
        <v>0</v>
      </c>
      <c r="L44" s="32">
        <f>COUNTIFS('SERVICE ENTRY'!$AF$4:$AF$1200,'Screening Services Report'!A44,'SERVICE ENTRY'!$F$4:$F$1200,"Unknown or Other")</f>
        <v>0</v>
      </c>
      <c r="R44" s="17"/>
      <c r="S44" s="16"/>
      <c r="T44" s="3"/>
    </row>
    <row r="45" spans="1:20" ht="15" x14ac:dyDescent="0.25">
      <c r="A45" s="68" t="s">
        <v>83</v>
      </c>
      <c r="B45" s="106">
        <f>COUNTIF('SERVICE ENTRY'!$AF$4:$AF$1200,'Screening Services Report'!A45)</f>
        <v>0</v>
      </c>
      <c r="C45" s="92">
        <f>COUNTIFS('SERVICE ENTRY'!$AF$4:$AF$1200,'Screening Services Report'!A45,'SERVICE ENTRY'!$G$4:$G$1200,"American Indian or Alaska Native")</f>
        <v>0</v>
      </c>
      <c r="D45" s="42">
        <f>COUNTIFS('SERVICE ENTRY'!$AF$4:$AF$1200,'Screening Services Report'!A45,'SERVICE ENTRY'!$G$4:$G$1200,"Asian")</f>
        <v>0</v>
      </c>
      <c r="E45" s="42">
        <f>COUNTIFS('SERVICE ENTRY'!$AF$4:$AF$1200,'Screening Services Report'!A45,'SERVICE ENTRY'!$G$4:$G$1200,"Black/African-American")</f>
        <v>0</v>
      </c>
      <c r="F45" s="42">
        <f>COUNTIFS('SERVICE ENTRY'!$AF$4:$AF$1200,'Screening Services Report'!A45,'SERVICE ENTRY'!$G$4:$G$1200,"Middle Eastern or North African")</f>
        <v>0</v>
      </c>
      <c r="G45" s="42">
        <f>COUNTIFS('SERVICE ENTRY'!$AF$4:$AF$1200,'Screening Services Report'!A45,'SERVICE ENTRY'!$G$4:$G$1200,"Native Hawaiian or Pacific Islander")</f>
        <v>0</v>
      </c>
      <c r="H45" s="42">
        <f>COUNTIFS('SERVICE ENTRY'!$AF$4:$AF$1200,'Screening Services Report'!A45,'SERVICE ENTRY'!$G$4:$G$1200,"White")</f>
        <v>0</v>
      </c>
      <c r="I45" s="92">
        <f>COUNTIFS('SERVICE ENTRY'!$AF$4:$AF$1200,'Screening Services Report'!A45,'SERVICE ENTRY'!$G$4:$G$1200,"Unknown or Other")</f>
        <v>0</v>
      </c>
      <c r="J45" s="220">
        <f>COUNTIFS('SERVICE ENTRY'!$AF$4:$AF$1200,'Screening Services Report'!A45,'SERVICE ENTRY'!$F$4:$F$1200,"Colombian")+COUNTIFS('SERVICE ENTRY'!$AF$4:$AF$1200,'Screening Services Report'!A45,'SERVICE ENTRY'!$F$4:$F$1200,"Cuban")+COUNTIFS('SERVICE ENTRY'!$AF$4:$AF$1200,'Screening Services Report'!A45,'SERVICE ENTRY'!$F$4:$F$1200,"Dominican")+COUNTIFS('SERVICE ENTRY'!$AF$4:$AF$1200,'Screening Services Report'!A45,'SERVICE ENTRY'!$F$4:$F$1200,"Mexican/Mexican-American/Chicano")+COUNTIFS('SERVICE ENTRY'!$AF$4:$AF$1200,'Screening Services Report'!A45,'SERVICE ENTRY'!$F$4:$F$1200,"Puerto Rican")+COUNTIFS('SERVICE ENTRY'!$AF$4:$AF$1200,'Screening Services Report'!A45,'SERVICE ENTRY'!$F$4:$F$1200,"Salvadoran")+COUNTIFS('SERVICE ENTRY'!$AF$4:$AF$1200,'Screening Services Report'!A45,'SERVICE ENTRY'!$F$4:$F$1200,"Other Hispanic/Latino/Spanish origin")</f>
        <v>0</v>
      </c>
      <c r="K45" s="42">
        <f>COUNTIFS('SERVICE ENTRY'!$AF$4:$AF$1200,'Screening Services Report'!A45,'SERVICE ENTRY'!$F$4:$F$1200,"Not of Hispanic/Latino/Spanish origin")</f>
        <v>0</v>
      </c>
      <c r="L45" s="32">
        <f>COUNTIFS('SERVICE ENTRY'!$AF$4:$AF$1200,'Screening Services Report'!A45,'SERVICE ENTRY'!$F$4:$F$1200,"Unknown or Other")</f>
        <v>0</v>
      </c>
      <c r="R45" s="17"/>
      <c r="S45" s="16"/>
      <c r="T45" s="3"/>
    </row>
    <row r="46" spans="1:20" ht="15.75" thickBot="1" x14ac:dyDescent="0.3">
      <c r="A46" s="68" t="s">
        <v>122</v>
      </c>
      <c r="B46" s="106">
        <f>COUNTIF('SERVICE ENTRY'!$AF$4:$AF$1200,'Screening Services Report'!A46)</f>
        <v>0</v>
      </c>
      <c r="C46" s="92">
        <f>COUNTIFS('SERVICE ENTRY'!$AF$4:$AF$1200,'Screening Services Report'!A46,'SERVICE ENTRY'!$G$4:$G$1200,"American Indian or Alaska Native")</f>
        <v>0</v>
      </c>
      <c r="D46" s="42">
        <f>COUNTIFS('SERVICE ENTRY'!$AF$4:$AF$1200,'Screening Services Report'!A46,'SERVICE ENTRY'!$G$4:$G$1200,"Asian")</f>
        <v>0</v>
      </c>
      <c r="E46" s="42">
        <f>COUNTIFS('SERVICE ENTRY'!$AF$4:$AF$1200,'Screening Services Report'!A46,'SERVICE ENTRY'!$G$4:$G$1200,"Black/African-American")</f>
        <v>0</v>
      </c>
      <c r="F46" s="42">
        <f>COUNTIFS('SERVICE ENTRY'!$AF$4:$AF$1200,'Screening Services Report'!A46,'SERVICE ENTRY'!$G$4:$G$1200,"Middle Eastern or North African")</f>
        <v>0</v>
      </c>
      <c r="G46" s="42">
        <f>COUNTIFS('SERVICE ENTRY'!$AF$4:$AF$1200,'Screening Services Report'!A46,'SERVICE ENTRY'!$G$4:$G$1200,"Native Hawaiian or Pacific Islander")</f>
        <v>0</v>
      </c>
      <c r="H46" s="42">
        <f>COUNTIFS('SERVICE ENTRY'!$AF$4:$AF$1200,'Screening Services Report'!A46,'SERVICE ENTRY'!$G$4:$G$1200,"White")</f>
        <v>0</v>
      </c>
      <c r="I46" s="92">
        <f>COUNTIFS('SERVICE ENTRY'!$AF$4:$AF$1200,'Screening Services Report'!A46,'SERVICE ENTRY'!$G$4:$G$1200,"Unknown or Other")</f>
        <v>0</v>
      </c>
      <c r="J46" s="220">
        <f>COUNTIFS('SERVICE ENTRY'!$AF$4:$AF$1200,'Screening Services Report'!A46,'SERVICE ENTRY'!$F$4:$F$1200,"Colombian")+COUNTIFS('SERVICE ENTRY'!$AF$4:$AF$1200,'Screening Services Report'!A46,'SERVICE ENTRY'!$F$4:$F$1200,"Cuban")+COUNTIFS('SERVICE ENTRY'!$AF$4:$AF$1200,'Screening Services Report'!A46,'SERVICE ENTRY'!$F$4:$F$1200,"Dominican")+COUNTIFS('SERVICE ENTRY'!$AF$4:$AF$1200,'Screening Services Report'!A46,'SERVICE ENTRY'!$F$4:$F$1200,"Mexican/Mexican-American/Chicano")+COUNTIFS('SERVICE ENTRY'!$AF$4:$AF$1200,'Screening Services Report'!A46,'SERVICE ENTRY'!$F$4:$F$1200,"Puerto Rican")+COUNTIFS('SERVICE ENTRY'!$AF$4:$AF$1200,'Screening Services Report'!A46,'SERVICE ENTRY'!$F$4:$F$1200,"Salvadoran")+COUNTIFS('SERVICE ENTRY'!$AF$4:$AF$1200,'Screening Services Report'!A46,'SERVICE ENTRY'!$F$4:$F$1200,"Other Hispanic/Latino/Spanish origin")</f>
        <v>0</v>
      </c>
      <c r="K46" s="42">
        <f>COUNTIFS('SERVICE ENTRY'!$AF$4:$AF$1200,'Screening Services Report'!A46,'SERVICE ENTRY'!$F$4:$F$1200,"Not of Hispanic/Latino/Spanish origin")</f>
        <v>0</v>
      </c>
      <c r="L46" s="32">
        <f>COUNTIFS('SERVICE ENTRY'!$AF$4:$AF$1200,'Screening Services Report'!A46,'SERVICE ENTRY'!$F$4:$F$1200,"Unknown or Other")</f>
        <v>0</v>
      </c>
      <c r="R46" s="17"/>
      <c r="S46" s="16"/>
      <c r="T46" s="3"/>
    </row>
    <row r="47" spans="1:20" ht="15.75" thickBot="1" x14ac:dyDescent="0.3">
      <c r="C47" s="369">
        <f>SUM(C44:I46)</f>
        <v>0</v>
      </c>
      <c r="D47" s="370"/>
      <c r="E47" s="370"/>
      <c r="F47" s="370"/>
      <c r="G47" s="370"/>
      <c r="H47" s="370"/>
      <c r="I47" s="370"/>
      <c r="J47" s="369">
        <f>SUM(J44:L46)</f>
        <v>0</v>
      </c>
      <c r="K47" s="370"/>
      <c r="L47" s="371"/>
    </row>
  </sheetData>
  <sheetProtection algorithmName="SHA-512" hashValue="jMtrWBPzUwy4SGJQJ8mohwPKgHAbk7/3VjQt+dRpA1yLUzl0JuhN/2oGIEDU8l28B+/90W5CZiAJ8tmNF2H5Xw==" saltValue="PdAyErRBZVRVpWB/z75a+g==" spinCount="100000" sheet="1" objects="1" scenarios="1"/>
  <mergeCells count="16">
    <mergeCell ref="A2:K2"/>
    <mergeCell ref="A1:K1"/>
    <mergeCell ref="J18:L18"/>
    <mergeCell ref="C18:I18"/>
    <mergeCell ref="C24:I24"/>
    <mergeCell ref="J24:L24"/>
    <mergeCell ref="C47:I47"/>
    <mergeCell ref="J47:L47"/>
    <mergeCell ref="A31:A32"/>
    <mergeCell ref="B31:B32"/>
    <mergeCell ref="C32:I32"/>
    <mergeCell ref="J32:L32"/>
    <mergeCell ref="A39:A40"/>
    <mergeCell ref="B39:B40"/>
    <mergeCell ref="C40:I40"/>
    <mergeCell ref="J40:L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51</vt:i4>
      </vt:variant>
    </vt:vector>
  </HeadingPairs>
  <TitlesOfParts>
    <vt:vector size="65" baseType="lpstr">
      <vt:lpstr>Instructions</vt:lpstr>
      <vt:lpstr>Orig County</vt:lpstr>
      <vt:lpstr>SERVICE ENTRY</vt:lpstr>
      <vt:lpstr>Aggregated Report</vt:lpstr>
      <vt:lpstr>County Report</vt:lpstr>
      <vt:lpstr>Demographics Report</vt:lpstr>
      <vt:lpstr>Breast Cancers Diagnosed Report</vt:lpstr>
      <vt:lpstr>Education &amp; Training Report</vt:lpstr>
      <vt:lpstr>Screening Services Report</vt:lpstr>
      <vt:lpstr>Diagnostic Services Report </vt:lpstr>
      <vt:lpstr>Treatment Services Report </vt:lpstr>
      <vt:lpstr>Treatment Support Report </vt:lpstr>
      <vt:lpstr>Barriers Reduction Report</vt:lpstr>
      <vt:lpstr>Pt Nav-CareCoor-CaseMgt Report</vt:lpstr>
      <vt:lpstr>AK</vt:lpstr>
      <vt:lpstr>AL</vt:lpstr>
      <vt:lpstr>AR</vt:lpstr>
      <vt:lpstr>AZ</vt:lpstr>
      <vt:lpstr>CA</vt:lpstr>
      <vt:lpstr>CO</vt:lpstr>
      <vt:lpstr>CT</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State</vt:lpstr>
      <vt:lpstr>TN</vt:lpstr>
      <vt:lpstr>TX</vt:lpstr>
      <vt:lpstr>UT</vt:lpstr>
      <vt:lpstr>VA</vt:lpstr>
      <vt:lpstr>VT</vt:lpstr>
      <vt:lpstr>WA</vt:lpstr>
      <vt:lpstr>WI</vt:lpstr>
      <vt:lpstr>WV</vt:lpstr>
      <vt:lpstr>WY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 Jillian</dc:creator>
  <cp:lastModifiedBy>Mary Coleman</cp:lastModifiedBy>
  <dcterms:created xsi:type="dcterms:W3CDTF">2017-03-28T19:26:36Z</dcterms:created>
  <dcterms:modified xsi:type="dcterms:W3CDTF">2018-04-11T16:44:55Z</dcterms:modified>
</cp:coreProperties>
</file>